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75" yWindow="-30" windowWidth="15240" windowHeight="12435" tabRatio="599" activeTab="3"/>
  </bookViews>
  <sheets>
    <sheet name="월기준" sheetId="13" r:id="rId1"/>
    <sheet name="수출" sheetId="1" r:id="rId2"/>
    <sheet name="수입" sheetId="2" r:id="rId3"/>
    <sheet name="수출입" sheetId="12" r:id="rId4"/>
    <sheet name="수출당월" sheetId="20" r:id="rId5"/>
    <sheet name="국가별수출" sheetId="22" r:id="rId6"/>
    <sheet name="수입당월" sheetId="23" r:id="rId7"/>
    <sheet name="국가별수입" sheetId="24" r:id="rId8"/>
    <sheet name="구리" sheetId="7" r:id="rId9"/>
    <sheet name="납" sheetId="8" r:id="rId10"/>
    <sheet name="아연" sheetId="9" r:id="rId11"/>
    <sheet name="알루미늄①" sheetId="10" r:id="rId12"/>
    <sheet name="알루미늄②" sheetId="11" r:id="rId13"/>
    <sheet name="니켈괴" sheetId="14" r:id="rId14"/>
    <sheet name="마그네슘괴" sheetId="16" r:id="rId15"/>
  </sheets>
  <definedNames>
    <definedName name="_xlnm.Print_Titles" localSheetId="9">납!$3:$5</definedName>
    <definedName name="_xlnm.Print_Titles" localSheetId="2">수입!$2:$5</definedName>
    <definedName name="_xlnm.Print_Titles" localSheetId="1">수출!$2:$5</definedName>
    <definedName name="_xlnm.Print_Titles" localSheetId="3">수출입!$2:$7</definedName>
    <definedName name="_xlnm.Print_Titles" localSheetId="10">아연!$2:$4</definedName>
  </definedNames>
  <calcPr calcId="125725"/>
</workbook>
</file>

<file path=xl/calcChain.xml><?xml version="1.0" encoding="utf-8"?>
<calcChain xmlns="http://schemas.openxmlformats.org/spreadsheetml/2006/main">
  <c r="AH74" i="11"/>
  <c r="AD168" i="24"/>
  <c r="AE168"/>
  <c r="AF168"/>
  <c r="AG168" s="1"/>
  <c r="AH168"/>
  <c r="AI168" s="1"/>
  <c r="AD169"/>
  <c r="AE169"/>
  <c r="AF169"/>
  <c r="AG169" s="1"/>
  <c r="AH169"/>
  <c r="AI169" s="1"/>
  <c r="AD170"/>
  <c r="AE170"/>
  <c r="AF170"/>
  <c r="AG170" s="1"/>
  <c r="AH170"/>
  <c r="AI170" s="1"/>
  <c r="AD171"/>
  <c r="AE171"/>
  <c r="AF171"/>
  <c r="AG171" s="1"/>
  <c r="AH171"/>
  <c r="AI171" s="1"/>
  <c r="AD172"/>
  <c r="AE172"/>
  <c r="AF172"/>
  <c r="AG172" s="1"/>
  <c r="AH172"/>
  <c r="AI172" s="1"/>
  <c r="AD173"/>
  <c r="AE173"/>
  <c r="AF173"/>
  <c r="AG173" s="1"/>
  <c r="AH173"/>
  <c r="AI173" s="1"/>
  <c r="AD174"/>
  <c r="AE174"/>
  <c r="AF174"/>
  <c r="AG174" s="1"/>
  <c r="AH174"/>
  <c r="AI174" s="1"/>
  <c r="AD175"/>
  <c r="AE175"/>
  <c r="AF175"/>
  <c r="AG175" s="1"/>
  <c r="AH175"/>
  <c r="AI175" s="1"/>
  <c r="AD176"/>
  <c r="AE176"/>
  <c r="AF176"/>
  <c r="AG176" s="1"/>
  <c r="AH176"/>
  <c r="AI176" s="1"/>
  <c r="AD177"/>
  <c r="AE177"/>
  <c r="AF177"/>
  <c r="AG177" s="1"/>
  <c r="AH177"/>
  <c r="AI177" s="1"/>
  <c r="AD178"/>
  <c r="AE178"/>
  <c r="AF178"/>
  <c r="AG178" s="1"/>
  <c r="AH178"/>
  <c r="AI178" s="1"/>
  <c r="AD179"/>
  <c r="AE179"/>
  <c r="AF179"/>
  <c r="AG179" s="1"/>
  <c r="AH179"/>
  <c r="AI179" s="1"/>
  <c r="AD180"/>
  <c r="AE180"/>
  <c r="AF180"/>
  <c r="AG180" s="1"/>
  <c r="AH180"/>
  <c r="AI180" s="1"/>
  <c r="AD181"/>
  <c r="AE181"/>
  <c r="AF181"/>
  <c r="AG181" s="1"/>
  <c r="AH181"/>
  <c r="AI181" s="1"/>
  <c r="AD182"/>
  <c r="AE182"/>
  <c r="AF182"/>
  <c r="AG182" s="1"/>
  <c r="AH182"/>
  <c r="AI182" s="1"/>
  <c r="AD183"/>
  <c r="AE183"/>
  <c r="AF183"/>
  <c r="AG183" s="1"/>
  <c r="AH183"/>
  <c r="AI183" s="1"/>
  <c r="AD184"/>
  <c r="AE184"/>
  <c r="AF184"/>
  <c r="AG184" s="1"/>
  <c r="AH184"/>
  <c r="AI184" s="1"/>
  <c r="AD185"/>
  <c r="AE185"/>
  <c r="AF185"/>
  <c r="AG185" s="1"/>
  <c r="AH185"/>
  <c r="AI185" s="1"/>
  <c r="AD186"/>
  <c r="AE186"/>
  <c r="AF186"/>
  <c r="AG186" s="1"/>
  <c r="AH186"/>
  <c r="AI186" s="1"/>
  <c r="AD187"/>
  <c r="AE187"/>
  <c r="AF187"/>
  <c r="AG187" s="1"/>
  <c r="AH187"/>
  <c r="AI187" s="1"/>
  <c r="AD188"/>
  <c r="AE188"/>
  <c r="AF188"/>
  <c r="AG188" s="1"/>
  <c r="AH188"/>
  <c r="AI188" s="1"/>
  <c r="AD189"/>
  <c r="AE189"/>
  <c r="AF189"/>
  <c r="AG189" s="1"/>
  <c r="AH189"/>
  <c r="AI189" s="1"/>
  <c r="AD190"/>
  <c r="AE190"/>
  <c r="AF190"/>
  <c r="AG190" s="1"/>
  <c r="AH190"/>
  <c r="AI190" s="1"/>
  <c r="AD191"/>
  <c r="AE191"/>
  <c r="AF191"/>
  <c r="AG191" s="1"/>
  <c r="AH191"/>
  <c r="AI191" s="1"/>
  <c r="AD192"/>
  <c r="AE192"/>
  <c r="AF192"/>
  <c r="AG192" s="1"/>
  <c r="AH192"/>
  <c r="AI192" s="1"/>
  <c r="AD193"/>
  <c r="AE193"/>
  <c r="AF193"/>
  <c r="AG193" s="1"/>
  <c r="AH193"/>
  <c r="AI193" s="1"/>
  <c r="AD194"/>
  <c r="AE194"/>
  <c r="AF194"/>
  <c r="AG194" s="1"/>
  <c r="AH194"/>
  <c r="AI194" s="1"/>
  <c r="AD195"/>
  <c r="AE195"/>
  <c r="AF195"/>
  <c r="AG195" s="1"/>
  <c r="AH195"/>
  <c r="AI195" s="1"/>
  <c r="AD196"/>
  <c r="AE196"/>
  <c r="AF196"/>
  <c r="AG196" s="1"/>
  <c r="AH196"/>
  <c r="AI196" s="1"/>
  <c r="AD197"/>
  <c r="AE197"/>
  <c r="AF197"/>
  <c r="AG197" s="1"/>
  <c r="AH197"/>
  <c r="AI197" s="1"/>
  <c r="AI88" i="8"/>
  <c r="AI87"/>
  <c r="AI86"/>
  <c r="AI83"/>
  <c r="AI81"/>
  <c r="AI80"/>
  <c r="AI79"/>
  <c r="AI78"/>
  <c r="AI77"/>
  <c r="AI76"/>
  <c r="AI64"/>
  <c r="AI62"/>
  <c r="AI59"/>
  <c r="AI58"/>
  <c r="AI57"/>
  <c r="AI53"/>
  <c r="AI23"/>
  <c r="AI21"/>
  <c r="AI20"/>
  <c r="AI19"/>
  <c r="AH43" i="9"/>
  <c r="AH42"/>
  <c r="AE111" i="10"/>
  <c r="AI145"/>
  <c r="AI118"/>
  <c r="AI119"/>
  <c r="AI120"/>
  <c r="AI121"/>
  <c r="AI122"/>
  <c r="AI124"/>
  <c r="AI125"/>
  <c r="AI127"/>
  <c r="AI93"/>
  <c r="AI82"/>
  <c r="AI81"/>
  <c r="AI74"/>
  <c r="AI51"/>
  <c r="AI55"/>
  <c r="AI41"/>
  <c r="AI42"/>
  <c r="AI43"/>
  <c r="AI19"/>
  <c r="AI20"/>
  <c r="AI22"/>
  <c r="AI23"/>
  <c r="AE150"/>
  <c r="AE131"/>
  <c r="AE115"/>
  <c r="AE119"/>
  <c r="AE123"/>
  <c r="AE127"/>
  <c r="AE29"/>
  <c r="AE92"/>
  <c r="AE96"/>
  <c r="AE100"/>
  <c r="AE91"/>
  <c r="AE13"/>
  <c r="AE88"/>
  <c r="AE66"/>
  <c r="AE153"/>
  <c r="AE151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0"/>
  <c r="AE128"/>
  <c r="AE126"/>
  <c r="AE125"/>
  <c r="AE124"/>
  <c r="AE122"/>
  <c r="AE121"/>
  <c r="AE120"/>
  <c r="AE118"/>
  <c r="AE117"/>
  <c r="AE116"/>
  <c r="AE114"/>
  <c r="AE113"/>
  <c r="AE112"/>
  <c r="AE105"/>
  <c r="AE103"/>
  <c r="AE102"/>
  <c r="AE101"/>
  <c r="AE99"/>
  <c r="AE98"/>
  <c r="AE97"/>
  <c r="AE95"/>
  <c r="AE94"/>
  <c r="AE93"/>
  <c r="AE90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59"/>
  <c r="AE57"/>
  <c r="AE56"/>
  <c r="AE55"/>
  <c r="AE54"/>
  <c r="AE53"/>
  <c r="AE52"/>
  <c r="AE51"/>
  <c r="AE50"/>
  <c r="AE49"/>
  <c r="AE48"/>
  <c r="AE47"/>
  <c r="AE45"/>
  <c r="AE44"/>
  <c r="AE43"/>
  <c r="AE42"/>
  <c r="AE41"/>
  <c r="AE40"/>
  <c r="AE39"/>
  <c r="AE38"/>
  <c r="AE37"/>
  <c r="AE36"/>
  <c r="AE35"/>
  <c r="AE34"/>
  <c r="AE33"/>
  <c r="AE32"/>
  <c r="AE31"/>
  <c r="AE30"/>
  <c r="AE28"/>
  <c r="AE26"/>
  <c r="AE25"/>
  <c r="AE24"/>
  <c r="AE23"/>
  <c r="AE22"/>
  <c r="AE21"/>
  <c r="AE20"/>
  <c r="AE19"/>
  <c r="AE18"/>
  <c r="AE17"/>
  <c r="AE16"/>
  <c r="AE15"/>
  <c r="AE14"/>
  <c r="AE12"/>
  <c r="AE10"/>
  <c r="AE9"/>
  <c r="AE8"/>
  <c r="AE7"/>
  <c r="AE6"/>
  <c r="AE5"/>
  <c r="AI244"/>
  <c r="AI241"/>
  <c r="AI201"/>
  <c r="AE230"/>
  <c r="AE232"/>
  <c r="AE234"/>
  <c r="AE236"/>
  <c r="AE238"/>
  <c r="AE240"/>
  <c r="AE242"/>
  <c r="AE244"/>
  <c r="AE246"/>
  <c r="AE248"/>
  <c r="AE198"/>
  <c r="AE202"/>
  <c r="AE181"/>
  <c r="AI216"/>
  <c r="AI218"/>
  <c r="AI219"/>
  <c r="AI220"/>
  <c r="AI221"/>
  <c r="AI222"/>
  <c r="AI223"/>
  <c r="AE214"/>
  <c r="AE216"/>
  <c r="AE218"/>
  <c r="AE220"/>
  <c r="AE222"/>
  <c r="AE224"/>
  <c r="AE212"/>
  <c r="AI169"/>
  <c r="AI170"/>
  <c r="AI171"/>
  <c r="AI172"/>
  <c r="AI173"/>
  <c r="AI174"/>
  <c r="AI175"/>
  <c r="AE162"/>
  <c r="AE250"/>
  <c r="AE247"/>
  <c r="AE245"/>
  <c r="AE243"/>
  <c r="AE241"/>
  <c r="AE239"/>
  <c r="AE237"/>
  <c r="AE235"/>
  <c r="AE233"/>
  <c r="AE231"/>
  <c r="AE229"/>
  <c r="AE228"/>
  <c r="AE227"/>
  <c r="AE225"/>
  <c r="AE223"/>
  <c r="AE221"/>
  <c r="AE219"/>
  <c r="AE217"/>
  <c r="AE215"/>
  <c r="AE213"/>
  <c r="AE205"/>
  <c r="AE203"/>
  <c r="AE201"/>
  <c r="AE200"/>
  <c r="AE199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0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I279"/>
  <c r="AI287"/>
  <c r="AI288"/>
  <c r="AI289"/>
  <c r="AI290"/>
  <c r="AI291"/>
  <c r="AI292"/>
  <c r="AI293"/>
  <c r="AI294"/>
  <c r="AI295"/>
  <c r="AI296"/>
  <c r="AI297"/>
  <c r="AI298"/>
  <c r="AI299"/>
  <c r="AI300"/>
  <c r="AI321"/>
  <c r="AI319"/>
  <c r="AI318"/>
  <c r="AI317"/>
  <c r="AI316"/>
  <c r="AI315"/>
  <c r="AI338"/>
  <c r="AE342"/>
  <c r="AE344"/>
  <c r="AE285"/>
  <c r="AE287"/>
  <c r="AE289"/>
  <c r="AE291"/>
  <c r="AE293"/>
  <c r="AE295"/>
  <c r="AE297"/>
  <c r="AE299"/>
  <c r="AE283"/>
  <c r="AE302"/>
  <c r="AE300"/>
  <c r="AE298"/>
  <c r="AE296"/>
  <c r="AE294"/>
  <c r="AE292"/>
  <c r="AE290"/>
  <c r="AE288"/>
  <c r="AE286"/>
  <c r="AE284"/>
  <c r="AE326"/>
  <c r="AE324"/>
  <c r="AE323"/>
  <c r="AE322"/>
  <c r="AE321"/>
  <c r="AE320"/>
  <c r="AE319"/>
  <c r="AE318"/>
  <c r="AE317"/>
  <c r="AE316"/>
  <c r="AE315"/>
  <c r="AE314"/>
  <c r="AE313"/>
  <c r="AE312"/>
  <c r="AE311"/>
  <c r="AE310"/>
  <c r="AE309"/>
  <c r="AE325" s="1"/>
  <c r="AE282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H163" i="11"/>
  <c r="AH164"/>
  <c r="AH131"/>
  <c r="AH132"/>
  <c r="AH133"/>
  <c r="AH134"/>
  <c r="AH135"/>
  <c r="AH136"/>
  <c r="AH137"/>
  <c r="AH138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89"/>
  <c r="AH88"/>
  <c r="AH57"/>
  <c r="AH64"/>
  <c r="AH65"/>
  <c r="AH66"/>
  <c r="AH67"/>
  <c r="AH68"/>
  <c r="AH15"/>
  <c r="AH16"/>
  <c r="AH17"/>
  <c r="AH18"/>
  <c r="AH19"/>
  <c r="AH20"/>
  <c r="AH21"/>
  <c r="AH22"/>
  <c r="AH23"/>
  <c r="AD180"/>
  <c r="AD182"/>
  <c r="AD168"/>
  <c r="AE168" s="1"/>
  <c r="AD170"/>
  <c r="AD133"/>
  <c r="AD135"/>
  <c r="AH34"/>
  <c r="AH35"/>
  <c r="AH36"/>
  <c r="AH37"/>
  <c r="AH38"/>
  <c r="AH39"/>
  <c r="AD42"/>
  <c r="AD19"/>
  <c r="AD21"/>
  <c r="AA12" i="14"/>
  <c r="Z12"/>
  <c r="AE7"/>
  <c r="AE6"/>
  <c r="AH19" i="16"/>
  <c r="AH10"/>
  <c r="AH9"/>
  <c r="AH8"/>
  <c r="AH6"/>
  <c r="AH5"/>
  <c r="AD20"/>
  <c r="AC20"/>
  <c r="AC177" i="11"/>
  <c r="AD177"/>
  <c r="AC178"/>
  <c r="AD178"/>
  <c r="AC179"/>
  <c r="AD179"/>
  <c r="AC180"/>
  <c r="AC181"/>
  <c r="AD181"/>
  <c r="AE181" s="1"/>
  <c r="AC182"/>
  <c r="AC183"/>
  <c r="AD183"/>
  <c r="AC184"/>
  <c r="AD184"/>
  <c r="AE184" s="1"/>
  <c r="AC185"/>
  <c r="AD185"/>
  <c r="AC186"/>
  <c r="AD186"/>
  <c r="AC187"/>
  <c r="AD187"/>
  <c r="AC154"/>
  <c r="AD154"/>
  <c r="AC155"/>
  <c r="AD155"/>
  <c r="AC156"/>
  <c r="AD156"/>
  <c r="AC157"/>
  <c r="AD157"/>
  <c r="AC158"/>
  <c r="AD158"/>
  <c r="AC159"/>
  <c r="AD159"/>
  <c r="AC160"/>
  <c r="AD160"/>
  <c r="AC161"/>
  <c r="AD161"/>
  <c r="AC162"/>
  <c r="AD162"/>
  <c r="AC163"/>
  <c r="AE163" s="1"/>
  <c r="AD163"/>
  <c r="AC164"/>
  <c r="AD164"/>
  <c r="AE164" s="1"/>
  <c r="AC165"/>
  <c r="AD165"/>
  <c r="AC166"/>
  <c r="AD166"/>
  <c r="AE166" s="1"/>
  <c r="AC167"/>
  <c r="AD167"/>
  <c r="AE167" s="1"/>
  <c r="AC168"/>
  <c r="AC169"/>
  <c r="AD169"/>
  <c r="AC170"/>
  <c r="AC130"/>
  <c r="AD130"/>
  <c r="AE130" s="1"/>
  <c r="AC131"/>
  <c r="AD131"/>
  <c r="AE131" s="1"/>
  <c r="AC132"/>
  <c r="AD132"/>
  <c r="AE132" s="1"/>
  <c r="AC133"/>
  <c r="AC134"/>
  <c r="AE134" s="1"/>
  <c r="AD134"/>
  <c r="AC135"/>
  <c r="AC136"/>
  <c r="AD136"/>
  <c r="AE136" s="1"/>
  <c r="AC137"/>
  <c r="AD137"/>
  <c r="AE137" s="1"/>
  <c r="AC138"/>
  <c r="AD138"/>
  <c r="AC139"/>
  <c r="AD139"/>
  <c r="AC140"/>
  <c r="AD140"/>
  <c r="AC104"/>
  <c r="AD104"/>
  <c r="AE104" s="1"/>
  <c r="AC105"/>
  <c r="AD105"/>
  <c r="AE105" s="1"/>
  <c r="AC106"/>
  <c r="AD106"/>
  <c r="AE106" s="1"/>
  <c r="AC107"/>
  <c r="AD107"/>
  <c r="AC108"/>
  <c r="AD108"/>
  <c r="AE108" s="1"/>
  <c r="AC109"/>
  <c r="AD109"/>
  <c r="AE109" s="1"/>
  <c r="AC110"/>
  <c r="AD110"/>
  <c r="AE110" s="1"/>
  <c r="AC111"/>
  <c r="AD111"/>
  <c r="AC112"/>
  <c r="AD112"/>
  <c r="AE112" s="1"/>
  <c r="AC113"/>
  <c r="AD113"/>
  <c r="AE113" s="1"/>
  <c r="AC114"/>
  <c r="AD114"/>
  <c r="AE114" s="1"/>
  <c r="AC115"/>
  <c r="AD115"/>
  <c r="AC116"/>
  <c r="AD116"/>
  <c r="AC117"/>
  <c r="AD117"/>
  <c r="AC118"/>
  <c r="AD118"/>
  <c r="AC119"/>
  <c r="AD119"/>
  <c r="AC120"/>
  <c r="AD120"/>
  <c r="AC121"/>
  <c r="AD121"/>
  <c r="AC122"/>
  <c r="AD122"/>
  <c r="AC79"/>
  <c r="AD79"/>
  <c r="AE79" s="1"/>
  <c r="AC80"/>
  <c r="AD80"/>
  <c r="AE80" s="1"/>
  <c r="AC81"/>
  <c r="AD81"/>
  <c r="AE81" s="1"/>
  <c r="AC82"/>
  <c r="AD82"/>
  <c r="AC83"/>
  <c r="AD83"/>
  <c r="AE83" s="1"/>
  <c r="AC84"/>
  <c r="AD84"/>
  <c r="AE84" s="1"/>
  <c r="AC85"/>
  <c r="AD85"/>
  <c r="AC86"/>
  <c r="AD86"/>
  <c r="AC87"/>
  <c r="AD87"/>
  <c r="AE87" s="1"/>
  <c r="AC88"/>
  <c r="AD88"/>
  <c r="AC89"/>
  <c r="AD89"/>
  <c r="AE89" s="1"/>
  <c r="AC90"/>
  <c r="AD90"/>
  <c r="AC91"/>
  <c r="AD91"/>
  <c r="AC56"/>
  <c r="AD56"/>
  <c r="AE56" s="1"/>
  <c r="AC57"/>
  <c r="AD57"/>
  <c r="AE57" s="1"/>
  <c r="AC58"/>
  <c r="AD58"/>
  <c r="AE58" s="1"/>
  <c r="AC59"/>
  <c r="AD59"/>
  <c r="AC60"/>
  <c r="AD60"/>
  <c r="AE60" s="1"/>
  <c r="AC61"/>
  <c r="AD61"/>
  <c r="AC62"/>
  <c r="AD62"/>
  <c r="AE62" s="1"/>
  <c r="AC63"/>
  <c r="AD63"/>
  <c r="AC64"/>
  <c r="AD64"/>
  <c r="AE64" s="1"/>
  <c r="AC65"/>
  <c r="AD65"/>
  <c r="AC66"/>
  <c r="AD66"/>
  <c r="AC67"/>
  <c r="AD67"/>
  <c r="AC68"/>
  <c r="AD68"/>
  <c r="AC69"/>
  <c r="AD69"/>
  <c r="AC70"/>
  <c r="AD70"/>
  <c r="AC71"/>
  <c r="AD71"/>
  <c r="AC31"/>
  <c r="AD31"/>
  <c r="AE31" s="1"/>
  <c r="AC32"/>
  <c r="AD32"/>
  <c r="AE32" s="1"/>
  <c r="AC33"/>
  <c r="AD33"/>
  <c r="AE33" s="1"/>
  <c r="AC34"/>
  <c r="AD34"/>
  <c r="AC35"/>
  <c r="AD35"/>
  <c r="AE35" s="1"/>
  <c r="AC36"/>
  <c r="AD36"/>
  <c r="AE36" s="1"/>
  <c r="AC37"/>
  <c r="AD37"/>
  <c r="AE37" s="1"/>
  <c r="AC38"/>
  <c r="AD38"/>
  <c r="AE38" s="1"/>
  <c r="AC39"/>
  <c r="AD39"/>
  <c r="AE39" s="1"/>
  <c r="AC40"/>
  <c r="AD40"/>
  <c r="AE40" s="1"/>
  <c r="AC41"/>
  <c r="AD41"/>
  <c r="AE41" s="1"/>
  <c r="AC42"/>
  <c r="AC43"/>
  <c r="AD43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C17"/>
  <c r="AD17"/>
  <c r="AC18"/>
  <c r="AD18"/>
  <c r="AC19"/>
  <c r="AC20"/>
  <c r="AD20"/>
  <c r="AE20" s="1"/>
  <c r="AC21"/>
  <c r="AC22"/>
  <c r="AD22"/>
  <c r="AC23"/>
  <c r="AD23"/>
  <c r="AC24"/>
  <c r="AD24"/>
  <c r="AD286" i="10"/>
  <c r="AD287"/>
  <c r="AD288"/>
  <c r="AD289"/>
  <c r="AD290"/>
  <c r="AD291"/>
  <c r="AD292"/>
  <c r="AD293"/>
  <c r="AD294"/>
  <c r="AD295"/>
  <c r="AD296"/>
  <c r="AF296"/>
  <c r="AD297"/>
  <c r="AD298"/>
  <c r="AD299"/>
  <c r="AD300"/>
  <c r="AD330"/>
  <c r="AD331"/>
  <c r="AD332"/>
  <c r="AD333"/>
  <c r="AD334"/>
  <c r="AD335"/>
  <c r="AD336"/>
  <c r="AD337"/>
  <c r="AD338"/>
  <c r="AD339"/>
  <c r="AD340"/>
  <c r="AD341"/>
  <c r="AD313"/>
  <c r="AD314"/>
  <c r="AF314" s="1"/>
  <c r="AD315"/>
  <c r="AD316"/>
  <c r="AD317"/>
  <c r="AF317" s="1"/>
  <c r="AD318"/>
  <c r="AD319"/>
  <c r="AD320"/>
  <c r="AD321"/>
  <c r="AD322"/>
  <c r="AD323"/>
  <c r="AD324"/>
  <c r="AD264"/>
  <c r="AD265"/>
  <c r="AF265" s="1"/>
  <c r="AD266"/>
  <c r="AD267"/>
  <c r="AF267" s="1"/>
  <c r="AD268"/>
  <c r="AD269"/>
  <c r="AF269" s="1"/>
  <c r="AD270"/>
  <c r="AD271"/>
  <c r="AF271" s="1"/>
  <c r="AD272"/>
  <c r="AD273"/>
  <c r="AF273" s="1"/>
  <c r="AD274"/>
  <c r="AF274" s="1"/>
  <c r="AD275"/>
  <c r="AD276"/>
  <c r="AD277"/>
  <c r="AD278"/>
  <c r="AD279"/>
  <c r="AF279"/>
  <c r="AD280"/>
  <c r="AD239"/>
  <c r="AF239" s="1"/>
  <c r="AD240"/>
  <c r="AD241"/>
  <c r="AD242"/>
  <c r="AD243"/>
  <c r="AF243" s="1"/>
  <c r="AD244"/>
  <c r="AD245"/>
  <c r="AF245" s="1"/>
  <c r="AD246"/>
  <c r="AD247"/>
  <c r="AD248"/>
  <c r="AD197"/>
  <c r="AF197" s="1"/>
  <c r="AD198"/>
  <c r="AD199"/>
  <c r="AF199" s="1"/>
  <c r="AD200"/>
  <c r="AF200" s="1"/>
  <c r="AD201"/>
  <c r="AF201" s="1"/>
  <c r="AD202"/>
  <c r="AD215"/>
  <c r="AF215" s="1"/>
  <c r="AD216"/>
  <c r="AD217"/>
  <c r="AD218"/>
  <c r="AD219"/>
  <c r="AF219" s="1"/>
  <c r="AD220"/>
  <c r="AD221"/>
  <c r="AD222"/>
  <c r="AD223"/>
  <c r="AF223" s="1"/>
  <c r="AD224"/>
  <c r="AF170"/>
  <c r="AF173"/>
  <c r="AD165"/>
  <c r="AD166"/>
  <c r="AF166" s="1"/>
  <c r="AD167"/>
  <c r="AD168"/>
  <c r="AF168" s="1"/>
  <c r="AD169"/>
  <c r="AD170"/>
  <c r="AD171"/>
  <c r="AD172"/>
  <c r="AF172" s="1"/>
  <c r="AD173"/>
  <c r="AD174"/>
  <c r="AD175"/>
  <c r="AD176"/>
  <c r="AF176" s="1"/>
  <c r="AD177"/>
  <c r="AD134"/>
  <c r="AF134" s="1"/>
  <c r="AD135"/>
  <c r="AF135" s="1"/>
  <c r="AD136"/>
  <c r="AF136" s="1"/>
  <c r="AD137"/>
  <c r="AD138"/>
  <c r="AF138"/>
  <c r="AD139"/>
  <c r="AF139"/>
  <c r="AD140"/>
  <c r="AF140"/>
  <c r="AD141"/>
  <c r="AF141"/>
  <c r="AD142"/>
  <c r="AD143"/>
  <c r="AD144"/>
  <c r="AD145"/>
  <c r="AD146"/>
  <c r="AF146"/>
  <c r="AD147"/>
  <c r="AD148"/>
  <c r="AD149"/>
  <c r="AD50"/>
  <c r="AF50" s="1"/>
  <c r="AD51"/>
  <c r="AD52"/>
  <c r="AF52" s="1"/>
  <c r="AD53"/>
  <c r="AD54"/>
  <c r="AF54" s="1"/>
  <c r="AD55"/>
  <c r="AD56"/>
  <c r="AD118"/>
  <c r="AD119"/>
  <c r="AD120"/>
  <c r="AF120"/>
  <c r="AD121"/>
  <c r="AF121"/>
  <c r="AD122"/>
  <c r="AD123"/>
  <c r="AD124"/>
  <c r="AD125"/>
  <c r="AD126"/>
  <c r="AD127"/>
  <c r="AD32"/>
  <c r="AD33"/>
  <c r="AF33" s="1"/>
  <c r="AD34"/>
  <c r="AF34" s="1"/>
  <c r="AD35"/>
  <c r="AF35" s="1"/>
  <c r="AD36"/>
  <c r="AF36" s="1"/>
  <c r="AD37"/>
  <c r="AD38"/>
  <c r="AF38" s="1"/>
  <c r="AD39"/>
  <c r="AD40"/>
  <c r="AF40" s="1"/>
  <c r="AD41"/>
  <c r="AF41" s="1"/>
  <c r="AD42"/>
  <c r="AD43"/>
  <c r="AF43" s="1"/>
  <c r="AD44"/>
  <c r="AD99"/>
  <c r="AD100"/>
  <c r="AD101"/>
  <c r="AD102"/>
  <c r="AD16"/>
  <c r="AD17"/>
  <c r="AD18"/>
  <c r="AD19"/>
  <c r="AD20"/>
  <c r="AD21"/>
  <c r="AD22"/>
  <c r="AD23"/>
  <c r="AF23" s="1"/>
  <c r="AD24"/>
  <c r="AD71"/>
  <c r="AF71" s="1"/>
  <c r="AD72"/>
  <c r="AF72" s="1"/>
  <c r="AD73"/>
  <c r="AD74"/>
  <c r="AF74" s="1"/>
  <c r="AD75"/>
  <c r="AF75" s="1"/>
  <c r="AD76"/>
  <c r="AD77"/>
  <c r="AD78"/>
  <c r="AD79"/>
  <c r="AD80"/>
  <c r="AF80" s="1"/>
  <c r="AD81"/>
  <c r="AD82"/>
  <c r="AD83"/>
  <c r="AD84"/>
  <c r="AD85"/>
  <c r="AD86"/>
  <c r="AD87"/>
  <c r="AD37" i="9"/>
  <c r="AD39"/>
  <c r="AD41"/>
  <c r="AD43"/>
  <c r="AD45"/>
  <c r="AD47"/>
  <c r="AD8"/>
  <c r="AH16"/>
  <c r="AH20"/>
  <c r="AD24"/>
  <c r="AH28"/>
  <c r="AD29"/>
  <c r="AD36"/>
  <c r="AD38"/>
  <c r="AD40"/>
  <c r="AD42"/>
  <c r="AD44"/>
  <c r="AD46"/>
  <c r="AC35"/>
  <c r="AC36"/>
  <c r="AC37"/>
  <c r="AC38"/>
  <c r="AC39"/>
  <c r="AC40"/>
  <c r="AC41"/>
  <c r="AC42"/>
  <c r="AC43"/>
  <c r="AC44"/>
  <c r="AC45"/>
  <c r="AC46"/>
  <c r="AC7"/>
  <c r="AD7"/>
  <c r="AC8"/>
  <c r="AC9"/>
  <c r="AD9"/>
  <c r="AE9" s="1"/>
  <c r="AC10"/>
  <c r="AD10"/>
  <c r="AC11"/>
  <c r="AD11"/>
  <c r="AE11" s="1"/>
  <c r="AC12"/>
  <c r="AD12"/>
  <c r="AE12" s="1"/>
  <c r="AC13"/>
  <c r="AD13"/>
  <c r="AE13" s="1"/>
  <c r="AC14"/>
  <c r="AD14"/>
  <c r="AC15"/>
  <c r="AD15"/>
  <c r="AE15" s="1"/>
  <c r="AC16"/>
  <c r="AD16"/>
  <c r="AE16" s="1"/>
  <c r="AC17"/>
  <c r="AD17"/>
  <c r="AE17" s="1"/>
  <c r="AC18"/>
  <c r="AD18"/>
  <c r="AC19"/>
  <c r="AD19"/>
  <c r="AC20"/>
  <c r="AC21"/>
  <c r="AD21"/>
  <c r="AC22"/>
  <c r="AD22"/>
  <c r="AC23"/>
  <c r="AD23"/>
  <c r="AC24"/>
  <c r="AC25"/>
  <c r="AD25"/>
  <c r="AE25" s="1"/>
  <c r="AC26"/>
  <c r="AD26"/>
  <c r="AC27"/>
  <c r="AD27"/>
  <c r="AE27" s="1"/>
  <c r="AC28"/>
  <c r="AD28"/>
  <c r="AC29"/>
  <c r="AC30"/>
  <c r="AD30"/>
  <c r="AH29"/>
  <c r="AH8"/>
  <c r="AH9"/>
  <c r="AH10"/>
  <c r="AH11"/>
  <c r="AH12"/>
  <c r="AH13"/>
  <c r="AH14"/>
  <c r="AH15"/>
  <c r="AH17"/>
  <c r="AH18"/>
  <c r="AH19"/>
  <c r="AH21"/>
  <c r="AH22"/>
  <c r="AH23"/>
  <c r="AH25"/>
  <c r="AH26"/>
  <c r="AE88" i="8"/>
  <c r="AE55"/>
  <c r="AE63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D89"/>
  <c r="AE89"/>
  <c r="AD9"/>
  <c r="AE9"/>
  <c r="AF9" s="1"/>
  <c r="AD10"/>
  <c r="AE10"/>
  <c r="AF10" s="1"/>
  <c r="AD11"/>
  <c r="AE11"/>
  <c r="AF11" s="1"/>
  <c r="AD12"/>
  <c r="AE12"/>
  <c r="AD13"/>
  <c r="AE13"/>
  <c r="AF13" s="1"/>
  <c r="AD14"/>
  <c r="AE14"/>
  <c r="AF14" s="1"/>
  <c r="AD15"/>
  <c r="AE15"/>
  <c r="AF15" s="1"/>
  <c r="AD16"/>
  <c r="AE16"/>
  <c r="AF16" s="1"/>
  <c r="AD17"/>
  <c r="AE17"/>
  <c r="AF17" s="1"/>
  <c r="AD18"/>
  <c r="AE18"/>
  <c r="AF18" s="1"/>
  <c r="AD19"/>
  <c r="AE19"/>
  <c r="AD20"/>
  <c r="AE20"/>
  <c r="AD21"/>
  <c r="AE21"/>
  <c r="AD22"/>
  <c r="AE22"/>
  <c r="AD23"/>
  <c r="AE23"/>
  <c r="AD24"/>
  <c r="AE24"/>
  <c r="AD25"/>
  <c r="AE25"/>
  <c r="AD26"/>
  <c r="AE26"/>
  <c r="AD27"/>
  <c r="AE27"/>
  <c r="AD49"/>
  <c r="AE49"/>
  <c r="AF49" s="1"/>
  <c r="AD50"/>
  <c r="AE50"/>
  <c r="AD51"/>
  <c r="AE51"/>
  <c r="AD52"/>
  <c r="AE52"/>
  <c r="AD53"/>
  <c r="AE53"/>
  <c r="AD54"/>
  <c r="AE54"/>
  <c r="AF54" s="1"/>
  <c r="AD55"/>
  <c r="AD56"/>
  <c r="AE56"/>
  <c r="AD57"/>
  <c r="AE57"/>
  <c r="AD58"/>
  <c r="AE58"/>
  <c r="AF58"/>
  <c r="AD59"/>
  <c r="AE59"/>
  <c r="AD60"/>
  <c r="AE60"/>
  <c r="AD61"/>
  <c r="AE61"/>
  <c r="AD62"/>
  <c r="AE62"/>
  <c r="AD63"/>
  <c r="AD64"/>
  <c r="AE64"/>
  <c r="AH265" i="7"/>
  <c r="AH236"/>
  <c r="AH217"/>
  <c r="AH215"/>
  <c r="AH200"/>
  <c r="AH129"/>
  <c r="AH128"/>
  <c r="AH127"/>
  <c r="AH126"/>
  <c r="AH125"/>
  <c r="AH124"/>
  <c r="AH105"/>
  <c r="AH104"/>
  <c r="AC104"/>
  <c r="AD104"/>
  <c r="AC105"/>
  <c r="AD105"/>
  <c r="AC106"/>
  <c r="AD106"/>
  <c r="AE106" s="1"/>
  <c r="AC107"/>
  <c r="AD107"/>
  <c r="AC108"/>
  <c r="AD108"/>
  <c r="AE108" s="1"/>
  <c r="AC109"/>
  <c r="AD109"/>
  <c r="AE109" s="1"/>
  <c r="AC110"/>
  <c r="AD110"/>
  <c r="AC111"/>
  <c r="AE111" s="1"/>
  <c r="AD111"/>
  <c r="AC112"/>
  <c r="AD112"/>
  <c r="AH62"/>
  <c r="AH56"/>
  <c r="AD240"/>
  <c r="AD214"/>
  <c r="AD216"/>
  <c r="AD218"/>
  <c r="AH146"/>
  <c r="AH147"/>
  <c r="AH148"/>
  <c r="AH149"/>
  <c r="AH150"/>
  <c r="AH151"/>
  <c r="AH152"/>
  <c r="AH153"/>
  <c r="AD153"/>
  <c r="AD155"/>
  <c r="AD54"/>
  <c r="AD58"/>
  <c r="AD62"/>
  <c r="AH23"/>
  <c r="AH24"/>
  <c r="AH25"/>
  <c r="AH26"/>
  <c r="AH27"/>
  <c r="AH28"/>
  <c r="AC30"/>
  <c r="AD30"/>
  <c r="AC235"/>
  <c r="AD235"/>
  <c r="AC236"/>
  <c r="AD236"/>
  <c r="AE236" s="1"/>
  <c r="AC237"/>
  <c r="AD237"/>
  <c r="AE237" s="1"/>
  <c r="AC238"/>
  <c r="AD238"/>
  <c r="AC239"/>
  <c r="AD239"/>
  <c r="AE239" s="1"/>
  <c r="AC240"/>
  <c r="AC241"/>
  <c r="AD241"/>
  <c r="AC211"/>
  <c r="AD211"/>
  <c r="AC212"/>
  <c r="AD212"/>
  <c r="AE212" s="1"/>
  <c r="AC213"/>
  <c r="AD213"/>
  <c r="AC214"/>
  <c r="AC215"/>
  <c r="AD215"/>
  <c r="AC216"/>
  <c r="AC217"/>
  <c r="AD217"/>
  <c r="AE217" s="1"/>
  <c r="AC218"/>
  <c r="AC219"/>
  <c r="AD219"/>
  <c r="AC146"/>
  <c r="AD146"/>
  <c r="AC147"/>
  <c r="AD147"/>
  <c r="AE147" s="1"/>
  <c r="AC148"/>
  <c r="AD148"/>
  <c r="AC149"/>
  <c r="AD149"/>
  <c r="AE149" s="1"/>
  <c r="AC150"/>
  <c r="AD150"/>
  <c r="AC151"/>
  <c r="AD151"/>
  <c r="AE151" s="1"/>
  <c r="AC152"/>
  <c r="AD152"/>
  <c r="AE152" s="1"/>
  <c r="AC153"/>
  <c r="AC154"/>
  <c r="AD154"/>
  <c r="AC155"/>
  <c r="AC156"/>
  <c r="AD156"/>
  <c r="AC54"/>
  <c r="AC55"/>
  <c r="AD55"/>
  <c r="AC56"/>
  <c r="AD56"/>
  <c r="AC57"/>
  <c r="AD57"/>
  <c r="AC58"/>
  <c r="AC59"/>
  <c r="AD59"/>
  <c r="AE59" s="1"/>
  <c r="AC60"/>
  <c r="AD60"/>
  <c r="AE60" s="1"/>
  <c r="AC61"/>
  <c r="AD61"/>
  <c r="AC62"/>
  <c r="BN53" i="12"/>
  <c r="BN52"/>
  <c r="BL53"/>
  <c r="BL52"/>
  <c r="BN29"/>
  <c r="BN28"/>
  <c r="BL29"/>
  <c r="BL28"/>
  <c r="BN21"/>
  <c r="BN20"/>
  <c r="BL21"/>
  <c r="BL20"/>
  <c r="AI40" i="2"/>
  <c r="AI39"/>
  <c r="AI40" i="1"/>
  <c r="AI39"/>
  <c r="BN37" i="12"/>
  <c r="BN36"/>
  <c r="BL37"/>
  <c r="BL36"/>
  <c r="AE24" i="11" l="1"/>
  <c r="AE22"/>
  <c r="AE17"/>
  <c r="AE13"/>
  <c r="AE9"/>
  <c r="AE43"/>
  <c r="AE162"/>
  <c r="AE160"/>
  <c r="AE158"/>
  <c r="AE156"/>
  <c r="AE154"/>
  <c r="AE186"/>
  <c r="AE179"/>
  <c r="AE177"/>
  <c r="AE135"/>
  <c r="AE182"/>
  <c r="AE21"/>
  <c r="AE18"/>
  <c r="AE16"/>
  <c r="AE12"/>
  <c r="AE10"/>
  <c r="AE8"/>
  <c r="AE159"/>
  <c r="AE155"/>
  <c r="AE185"/>
  <c r="AE178"/>
  <c r="AE180"/>
  <c r="AF288" i="10"/>
  <c r="AF293"/>
  <c r="AF118"/>
  <c r="AF286"/>
  <c r="AF294"/>
  <c r="AF295"/>
  <c r="AF122"/>
  <c r="AF119"/>
  <c r="AF292"/>
  <c r="AF297"/>
  <c r="AF289"/>
  <c r="AF167"/>
  <c r="AF171"/>
  <c r="AF313"/>
  <c r="AF290"/>
  <c r="AF299"/>
  <c r="AF291"/>
  <c r="AE23" i="9"/>
  <c r="AE24"/>
  <c r="AE18"/>
  <c r="AE7"/>
  <c r="AE42"/>
  <c r="AE29"/>
  <c r="AE36"/>
  <c r="AE37"/>
  <c r="AE150" i="7"/>
  <c r="AE148"/>
  <c r="AE146"/>
  <c r="AE213"/>
  <c r="AE211"/>
  <c r="AE153"/>
  <c r="AE240"/>
  <c r="AE112"/>
  <c r="AE110"/>
  <c r="AE57"/>
  <c r="AE55"/>
  <c r="AE214"/>
  <c r="AE241"/>
  <c r="AE54"/>
  <c r="AE216"/>
  <c r="AE56"/>
  <c r="AE154"/>
  <c r="AE58"/>
  <c r="AF86" i="8"/>
  <c r="AF78"/>
  <c r="AF76"/>
  <c r="AF89"/>
  <c r="AF77"/>
  <c r="AF73"/>
  <c r="AF51" i="10"/>
  <c r="AE58"/>
  <c r="AE152"/>
  <c r="AE129"/>
  <c r="AE46"/>
  <c r="AE104"/>
  <c r="AE27"/>
  <c r="AF81"/>
  <c r="AF73"/>
  <c r="AE89"/>
  <c r="AE11"/>
  <c r="AE154"/>
  <c r="AF244"/>
  <c r="AF240"/>
  <c r="AF246"/>
  <c r="AE249"/>
  <c r="AF202"/>
  <c r="AF198"/>
  <c r="AE204"/>
  <c r="AF216"/>
  <c r="AF218"/>
  <c r="AE226"/>
  <c r="AE179"/>
  <c r="AE251"/>
  <c r="AE206"/>
  <c r="AE301"/>
  <c r="AE281"/>
  <c r="AF272"/>
  <c r="AF268"/>
  <c r="AF264"/>
  <c r="AF276"/>
  <c r="AF270"/>
  <c r="AF266"/>
  <c r="AE161" i="11"/>
  <c r="AE165"/>
  <c r="AE157"/>
  <c r="AE107"/>
  <c r="AE111"/>
  <c r="AE82"/>
  <c r="AE63"/>
  <c r="AE67"/>
  <c r="AE11"/>
  <c r="AE15"/>
  <c r="AE23"/>
  <c r="AE30" i="9"/>
  <c r="AE14"/>
  <c r="AE22"/>
  <c r="AD20"/>
  <c r="AE20" s="1"/>
  <c r="AH24"/>
  <c r="AE10"/>
  <c r="AH27"/>
  <c r="AE238" i="7"/>
  <c r="BN45" i="12"/>
  <c r="BN44"/>
  <c r="BL45"/>
  <c r="BL44"/>
  <c r="AI10" i="2"/>
  <c r="AI9"/>
  <c r="AI10" i="1"/>
  <c r="AI9"/>
  <c r="BN13" i="12"/>
  <c r="BN12"/>
  <c r="BL13"/>
  <c r="BL12"/>
  <c r="AH199" i="24" l="1"/>
  <c r="AF199"/>
  <c r="AE199"/>
  <c r="AD199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H199" i="22"/>
  <c r="AF199"/>
  <c r="AE199"/>
  <c r="AD199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H197"/>
  <c r="AF197"/>
  <c r="AE197"/>
  <c r="AD197"/>
  <c r="AH196"/>
  <c r="AF196"/>
  <c r="AE196"/>
  <c r="AD196"/>
  <c r="AH195"/>
  <c r="AF195"/>
  <c r="AE195"/>
  <c r="AD195"/>
  <c r="AH194"/>
  <c r="AF194"/>
  <c r="AE194"/>
  <c r="AD194"/>
  <c r="AH193"/>
  <c r="AF193"/>
  <c r="AE193"/>
  <c r="AD193"/>
  <c r="AH192"/>
  <c r="AF192"/>
  <c r="AE192"/>
  <c r="AD192"/>
  <c r="AH191"/>
  <c r="AF191"/>
  <c r="AE191"/>
  <c r="AD191"/>
  <c r="AH190"/>
  <c r="AF190"/>
  <c r="AE190"/>
  <c r="AD190"/>
  <c r="AH189"/>
  <c r="AF189"/>
  <c r="AE189"/>
  <c r="AD189"/>
  <c r="AH188"/>
  <c r="AF188"/>
  <c r="AE188"/>
  <c r="AD188"/>
  <c r="AH187"/>
  <c r="AF187"/>
  <c r="AE187"/>
  <c r="AD187"/>
  <c r="AH186"/>
  <c r="AF186"/>
  <c r="AE186"/>
  <c r="AD186"/>
  <c r="AH185"/>
  <c r="AF185"/>
  <c r="AE185"/>
  <c r="AD185"/>
  <c r="AH184"/>
  <c r="AF184"/>
  <c r="AE184"/>
  <c r="AD184"/>
  <c r="AH183"/>
  <c r="AF183"/>
  <c r="AE183"/>
  <c r="AD183"/>
  <c r="AH182"/>
  <c r="AF182"/>
  <c r="AE182"/>
  <c r="AD182"/>
  <c r="AH181"/>
  <c r="AF181"/>
  <c r="AE181"/>
  <c r="AD181"/>
  <c r="AH180"/>
  <c r="AF180"/>
  <c r="AE180"/>
  <c r="AD180"/>
  <c r="AH179"/>
  <c r="AF179"/>
  <c r="AE179"/>
  <c r="AD179"/>
  <c r="AH178"/>
  <c r="AF178"/>
  <c r="AE178"/>
  <c r="AD178"/>
  <c r="AH177"/>
  <c r="AF177"/>
  <c r="AE177"/>
  <c r="AD177"/>
  <c r="AH176"/>
  <c r="AF176"/>
  <c r="AE176"/>
  <c r="AD176"/>
  <c r="AH175"/>
  <c r="AF175"/>
  <c r="AE175"/>
  <c r="AD175"/>
  <c r="AH174"/>
  <c r="AF174"/>
  <c r="AE174"/>
  <c r="AD174"/>
  <c r="AH173"/>
  <c r="AF173"/>
  <c r="AE173"/>
  <c r="AD173"/>
  <c r="AH172"/>
  <c r="AF172"/>
  <c r="AE172"/>
  <c r="AD172"/>
  <c r="AH171"/>
  <c r="AF171"/>
  <c r="AE171"/>
  <c r="AD171"/>
  <c r="AH170"/>
  <c r="AF170"/>
  <c r="AE170"/>
  <c r="AD170"/>
  <c r="AH169"/>
  <c r="AF169"/>
  <c r="AE169"/>
  <c r="AD169"/>
  <c r="AH168"/>
  <c r="AF168"/>
  <c r="AE168"/>
  <c r="AD168"/>
  <c r="BN61" i="12"/>
  <c r="BN60"/>
  <c r="BN59"/>
  <c r="BN58"/>
  <c r="BN57"/>
  <c r="BN56"/>
  <c r="BL61"/>
  <c r="BL60"/>
  <c r="BL59"/>
  <c r="BL58"/>
  <c r="BL57"/>
  <c r="BL56"/>
  <c r="AH83" i="1"/>
  <c r="AH92" i="2"/>
  <c r="AH101"/>
  <c r="AH101" i="1"/>
  <c r="AH92"/>
  <c r="AH83" i="2"/>
  <c r="AH40"/>
  <c r="AH39"/>
  <c r="AH40" i="1"/>
  <c r="AH39"/>
  <c r="AH10" i="2"/>
  <c r="AH9"/>
  <c r="AH198" i="22" l="1"/>
  <c r="AH198" i="24"/>
  <c r="BN63" i="12"/>
  <c r="BN62"/>
  <c r="BL63"/>
  <c r="BL62"/>
  <c r="AG189" i="22"/>
  <c r="AG191"/>
  <c r="AG193"/>
  <c r="AD198" i="24"/>
  <c r="AD198" i="22"/>
  <c r="AG199" i="24"/>
  <c r="AI199"/>
  <c r="AI170" i="22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1"/>
  <c r="AI193"/>
  <c r="AI194"/>
  <c r="AI195"/>
  <c r="AI196"/>
  <c r="AI197"/>
  <c r="AE198" i="24"/>
  <c r="AF198"/>
  <c r="AG172" i="22"/>
  <c r="AG174"/>
  <c r="AG176"/>
  <c r="AG178"/>
  <c r="AG180"/>
  <c r="AG183"/>
  <c r="AG185"/>
  <c r="AG187"/>
  <c r="AG197"/>
  <c r="AG169"/>
  <c r="AG171"/>
  <c r="AG173"/>
  <c r="AG175"/>
  <c r="AG177"/>
  <c r="AG179"/>
  <c r="AG181"/>
  <c r="AG182"/>
  <c r="AG184"/>
  <c r="AG186"/>
  <c r="AG188"/>
  <c r="AG190"/>
  <c r="AG192"/>
  <c r="AG194"/>
  <c r="AG195"/>
  <c r="AG196"/>
  <c r="AG199"/>
  <c r="AI190"/>
  <c r="AI192"/>
  <c r="AE198"/>
  <c r="AG168"/>
  <c r="AI169"/>
  <c r="AG170"/>
  <c r="AI199"/>
  <c r="AF198"/>
  <c r="AI168"/>
  <c r="AH10" i="1"/>
  <c r="AH9"/>
  <c r="AC201" i="10"/>
  <c r="AI198" i="22" l="1"/>
  <c r="AI198" i="24"/>
  <c r="AG198"/>
  <c r="AG198" i="22"/>
  <c r="X196" i="10"/>
  <c r="Y196"/>
  <c r="Z196" s="1"/>
  <c r="X197"/>
  <c r="Y197"/>
  <c r="Z197" s="1"/>
  <c r="X198"/>
  <c r="Y198"/>
  <c r="Z198" s="1"/>
  <c r="X199"/>
  <c r="Y199"/>
  <c r="X200"/>
  <c r="Y200"/>
  <c r="Z200" s="1"/>
  <c r="X201"/>
  <c r="Y201"/>
  <c r="Z201" s="1"/>
  <c r="X202"/>
  <c r="Y202"/>
  <c r="AA206"/>
  <c r="AB265" i="7"/>
  <c r="AB261"/>
  <c r="AB236"/>
  <c r="AB237"/>
  <c r="AB238"/>
  <c r="AB239"/>
  <c r="AB240"/>
  <c r="AB241"/>
  <c r="AB242"/>
  <c r="AB243"/>
  <c r="AB244"/>
  <c r="AB245"/>
  <c r="W236"/>
  <c r="X236"/>
  <c r="Y236" s="1"/>
  <c r="W237"/>
  <c r="X237"/>
  <c r="Y237" s="1"/>
  <c r="W238"/>
  <c r="X238"/>
  <c r="Y238" s="1"/>
  <c r="W239"/>
  <c r="X239"/>
  <c r="W240"/>
  <c r="X240"/>
  <c r="W241"/>
  <c r="X241"/>
  <c r="W242"/>
  <c r="Y242" s="1"/>
  <c r="X242"/>
  <c r="W243"/>
  <c r="X243"/>
  <c r="Y243" s="1"/>
  <c r="W244"/>
  <c r="Y244" s="1"/>
  <c r="X244"/>
  <c r="W245"/>
  <c r="X245"/>
  <c r="W246"/>
  <c r="Y246" s="1"/>
  <c r="X246"/>
  <c r="W247"/>
  <c r="X247"/>
  <c r="Y247" s="1"/>
  <c r="W248"/>
  <c r="X248"/>
  <c r="W249"/>
  <c r="X249"/>
  <c r="AB217"/>
  <c r="AB216"/>
  <c r="AB215"/>
  <c r="AB202"/>
  <c r="AB200"/>
  <c r="AB150"/>
  <c r="AB151"/>
  <c r="AB152"/>
  <c r="AB153"/>
  <c r="AB154"/>
  <c r="AB155"/>
  <c r="W150"/>
  <c r="X150"/>
  <c r="W151"/>
  <c r="X151"/>
  <c r="W152"/>
  <c r="X152"/>
  <c r="Y152"/>
  <c r="W153"/>
  <c r="X153"/>
  <c r="W154"/>
  <c r="X154"/>
  <c r="Y154" s="1"/>
  <c r="W155"/>
  <c r="X155"/>
  <c r="W156"/>
  <c r="X156"/>
  <c r="W157"/>
  <c r="X157"/>
  <c r="AB124"/>
  <c r="AB125"/>
  <c r="AB126"/>
  <c r="AB127"/>
  <c r="AB97"/>
  <c r="AB98"/>
  <c r="AB99"/>
  <c r="AB100"/>
  <c r="AB101"/>
  <c r="AB102"/>
  <c r="AB103"/>
  <c r="AB104"/>
  <c r="AB105"/>
  <c r="AB106"/>
  <c r="AB107"/>
  <c r="AB108"/>
  <c r="AB109"/>
  <c r="AB110"/>
  <c r="AB111"/>
  <c r="AB62"/>
  <c r="AB49"/>
  <c r="AB50"/>
  <c r="AB51"/>
  <c r="AB52"/>
  <c r="AB53"/>
  <c r="AB54"/>
  <c r="AB55"/>
  <c r="AB56"/>
  <c r="AB57"/>
  <c r="AB58"/>
  <c r="AB59"/>
  <c r="AB60"/>
  <c r="AB61"/>
  <c r="AB24"/>
  <c r="X30"/>
  <c r="W30"/>
  <c r="AC75" i="8"/>
  <c r="AC76"/>
  <c r="AC78"/>
  <c r="AC79"/>
  <c r="AC80"/>
  <c r="AC81"/>
  <c r="AC83"/>
  <c r="AC87"/>
  <c r="AC88"/>
  <c r="AC89"/>
  <c r="X73"/>
  <c r="Y73"/>
  <c r="X74"/>
  <c r="Y74"/>
  <c r="X75"/>
  <c r="Y75"/>
  <c r="X76"/>
  <c r="Y76"/>
  <c r="X77"/>
  <c r="Y77"/>
  <c r="X78"/>
  <c r="Y78"/>
  <c r="Z78" s="1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AC64"/>
  <c r="AC51"/>
  <c r="AC52"/>
  <c r="AC53"/>
  <c r="AC54"/>
  <c r="AC56"/>
  <c r="AC57"/>
  <c r="AC59"/>
  <c r="AC61"/>
  <c r="AC62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Z52"/>
  <c r="Z53"/>
  <c r="Z54"/>
  <c r="Z57"/>
  <c r="Z59"/>
  <c r="Z61"/>
  <c r="Z62"/>
  <c r="Z64"/>
  <c r="X35"/>
  <c r="Y35"/>
  <c r="X36"/>
  <c r="Y36"/>
  <c r="Z36" s="1"/>
  <c r="X37"/>
  <c r="Y37"/>
  <c r="X38"/>
  <c r="Y38"/>
  <c r="X39"/>
  <c r="Y39"/>
  <c r="X40"/>
  <c r="Y40"/>
  <c r="X41"/>
  <c r="Y41"/>
  <c r="AC23"/>
  <c r="AC10"/>
  <c r="AC11"/>
  <c r="AC12"/>
  <c r="AC13"/>
  <c r="AC14"/>
  <c r="AC15"/>
  <c r="AC16"/>
  <c r="AC17"/>
  <c r="AC18"/>
  <c r="AC19"/>
  <c r="AC20"/>
  <c r="AC21"/>
  <c r="X20"/>
  <c r="Y20"/>
  <c r="X21"/>
  <c r="Y21"/>
  <c r="X22"/>
  <c r="Y22"/>
  <c r="AB37" i="9"/>
  <c r="AB40"/>
  <c r="AB41"/>
  <c r="AB42"/>
  <c r="AB43"/>
  <c r="W36"/>
  <c r="X36"/>
  <c r="Y36" s="1"/>
  <c r="W37"/>
  <c r="X37"/>
  <c r="Y37"/>
  <c r="W38"/>
  <c r="X38"/>
  <c r="W39"/>
  <c r="X39"/>
  <c r="W40"/>
  <c r="X40"/>
  <c r="W41"/>
  <c r="X41"/>
  <c r="W42"/>
  <c r="X42"/>
  <c r="AB24"/>
  <c r="AB25"/>
  <c r="AB26"/>
  <c r="AB27"/>
  <c r="AB28"/>
  <c r="AB29"/>
  <c r="W18"/>
  <c r="X18"/>
  <c r="Y18" s="1"/>
  <c r="W19"/>
  <c r="X19"/>
  <c r="W20"/>
  <c r="X20"/>
  <c r="Y20" s="1"/>
  <c r="W21"/>
  <c r="X21"/>
  <c r="W22"/>
  <c r="X22"/>
  <c r="Y22" s="1"/>
  <c r="W23"/>
  <c r="X23"/>
  <c r="Y23" s="1"/>
  <c r="W24"/>
  <c r="X24"/>
  <c r="Y24" s="1"/>
  <c r="W25"/>
  <c r="X25"/>
  <c r="W26"/>
  <c r="X26"/>
  <c r="Y26" s="1"/>
  <c r="W27"/>
  <c r="X27"/>
  <c r="Y27"/>
  <c r="W28"/>
  <c r="X28"/>
  <c r="W29"/>
  <c r="X29"/>
  <c r="AB8"/>
  <c r="AB9"/>
  <c r="AB10"/>
  <c r="AB11"/>
  <c r="AB12"/>
  <c r="AB13"/>
  <c r="AB14"/>
  <c r="AB15"/>
  <c r="AB16"/>
  <c r="AB17"/>
  <c r="AB18"/>
  <c r="AB19"/>
  <c r="AB20"/>
  <c r="AB21"/>
  <c r="AC216" i="10"/>
  <c r="AC218"/>
  <c r="AC219"/>
  <c r="AC220"/>
  <c r="AC221"/>
  <c r="AC222"/>
  <c r="AC223"/>
  <c r="AC224"/>
  <c r="X215"/>
  <c r="Y215"/>
  <c r="X216"/>
  <c r="Y216"/>
  <c r="X217"/>
  <c r="Y217"/>
  <c r="X218"/>
  <c r="Y218"/>
  <c r="X219"/>
  <c r="Y219"/>
  <c r="X220"/>
  <c r="Y220"/>
  <c r="Z220"/>
  <c r="X221"/>
  <c r="Y221"/>
  <c r="X222"/>
  <c r="Y222"/>
  <c r="X223"/>
  <c r="Y223"/>
  <c r="Z223" s="1"/>
  <c r="X224"/>
  <c r="Y224"/>
  <c r="AC245"/>
  <c r="AC244"/>
  <c r="AC243"/>
  <c r="AC242"/>
  <c r="AC241"/>
  <c r="AC240"/>
  <c r="X236"/>
  <c r="Y236"/>
  <c r="Z236" s="1"/>
  <c r="X237"/>
  <c r="Y237"/>
  <c r="Z237" s="1"/>
  <c r="X238"/>
  <c r="Y238"/>
  <c r="Z238" s="1"/>
  <c r="X239"/>
  <c r="Y239"/>
  <c r="X240"/>
  <c r="Y240"/>
  <c r="X241"/>
  <c r="Y241"/>
  <c r="X242"/>
  <c r="Y242"/>
  <c r="X243"/>
  <c r="Y243"/>
  <c r="Z243" s="1"/>
  <c r="X244"/>
  <c r="Y244"/>
  <c r="X245"/>
  <c r="Y245"/>
  <c r="X246"/>
  <c r="Y246"/>
  <c r="AE328"/>
  <c r="AE329"/>
  <c r="AE338"/>
  <c r="AE339"/>
  <c r="AE340"/>
  <c r="AE327"/>
  <c r="AC298"/>
  <c r="AC321"/>
  <c r="AC319"/>
  <c r="AC317"/>
  <c r="AC315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X263"/>
  <c r="Y263"/>
  <c r="Z263" s="1"/>
  <c r="X264"/>
  <c r="Y264"/>
  <c r="Z264" s="1"/>
  <c r="X265"/>
  <c r="Y265"/>
  <c r="X266"/>
  <c r="Z266" s="1"/>
  <c r="Y266"/>
  <c r="X267"/>
  <c r="Y267"/>
  <c r="X268"/>
  <c r="Y268"/>
  <c r="Z268"/>
  <c r="X269"/>
  <c r="Y269"/>
  <c r="Z269" s="1"/>
  <c r="X270"/>
  <c r="Y270"/>
  <c r="X271"/>
  <c r="Y271"/>
  <c r="Z271" s="1"/>
  <c r="X272"/>
  <c r="Y272"/>
  <c r="Z272" s="1"/>
  <c r="X273"/>
  <c r="Y273"/>
  <c r="X274"/>
  <c r="Z274" s="1"/>
  <c r="Y274"/>
  <c r="X275"/>
  <c r="Y275"/>
  <c r="X276"/>
  <c r="Z276" s="1"/>
  <c r="Y276"/>
  <c r="X277"/>
  <c r="Y277"/>
  <c r="Z277" s="1"/>
  <c r="X278"/>
  <c r="Y278"/>
  <c r="X338"/>
  <c r="X339"/>
  <c r="X340"/>
  <c r="AC300"/>
  <c r="AC286"/>
  <c r="AC287"/>
  <c r="AC288"/>
  <c r="AC289"/>
  <c r="AC290"/>
  <c r="AC291"/>
  <c r="AC292"/>
  <c r="AC293"/>
  <c r="AC294"/>
  <c r="AC295"/>
  <c r="AC296"/>
  <c r="AC297"/>
  <c r="X286"/>
  <c r="X287"/>
  <c r="X288"/>
  <c r="X289"/>
  <c r="X290"/>
  <c r="X291"/>
  <c r="X292"/>
  <c r="X293"/>
  <c r="X294"/>
  <c r="X295"/>
  <c r="X296"/>
  <c r="X297"/>
  <c r="X298"/>
  <c r="X299"/>
  <c r="X300"/>
  <c r="X313"/>
  <c r="X314"/>
  <c r="X315"/>
  <c r="X316"/>
  <c r="X317"/>
  <c r="X318"/>
  <c r="X319"/>
  <c r="X320"/>
  <c r="Z278" l="1"/>
  <c r="Z267"/>
  <c r="Z265"/>
  <c r="Z275"/>
  <c r="Z273"/>
  <c r="Z270"/>
  <c r="Z216"/>
  <c r="Y28" i="9"/>
  <c r="Y29"/>
  <c r="Y21"/>
  <c r="Z74" i="8"/>
  <c r="Z37"/>
  <c r="Y150" i="7"/>
  <c r="Y248"/>
  <c r="Y245"/>
  <c r="Y240"/>
  <c r="Y151"/>
  <c r="Y249"/>
  <c r="Y241"/>
  <c r="Y239"/>
  <c r="Z83" i="8"/>
  <c r="Z81"/>
  <c r="Z73"/>
  <c r="Z75"/>
  <c r="AE330" i="10"/>
  <c r="AF330" s="1"/>
  <c r="AE335"/>
  <c r="AF335" s="1"/>
  <c r="AE331"/>
  <c r="AF331" s="1"/>
  <c r="AE332"/>
  <c r="AF332" s="1"/>
  <c r="AE336"/>
  <c r="AF336" s="1"/>
  <c r="AE341"/>
  <c r="AE337"/>
  <c r="AF337" s="1"/>
  <c r="AE333"/>
  <c r="AF333" s="1"/>
  <c r="AE334"/>
  <c r="AF334" s="1"/>
  <c r="Y339"/>
  <c r="Y340"/>
  <c r="Z340" s="1"/>
  <c r="Y338"/>
  <c r="AF338"/>
  <c r="Z76" i="8"/>
  <c r="Z242" i="10"/>
  <c r="Z199"/>
  <c r="Z218"/>
  <c r="Z244"/>
  <c r="Z241"/>
  <c r="Z239"/>
  <c r="Z245"/>
  <c r="Z240"/>
  <c r="AE343" l="1"/>
  <c r="AC169"/>
  <c r="AC170"/>
  <c r="AC171"/>
  <c r="AC172"/>
  <c r="AC173"/>
  <c r="AC174"/>
  <c r="AC175"/>
  <c r="AC176"/>
  <c r="AC177"/>
  <c r="AC138"/>
  <c r="AC139"/>
  <c r="AC140"/>
  <c r="AC141"/>
  <c r="AC142"/>
  <c r="AC143"/>
  <c r="AC145"/>
  <c r="AC147"/>
  <c r="X136"/>
  <c r="X137"/>
  <c r="X138"/>
  <c r="X139"/>
  <c r="X140"/>
  <c r="X141"/>
  <c r="X142"/>
  <c r="X143"/>
  <c r="X144"/>
  <c r="X145"/>
  <c r="X146"/>
  <c r="X147"/>
  <c r="X148"/>
  <c r="X149"/>
  <c r="AC118"/>
  <c r="AC119"/>
  <c r="AC120"/>
  <c r="AC121"/>
  <c r="AC122"/>
  <c r="AC124"/>
  <c r="AC125"/>
  <c r="AC127"/>
  <c r="X123"/>
  <c r="X124"/>
  <c r="X125"/>
  <c r="X126"/>
  <c r="X127"/>
  <c r="AC93"/>
  <c r="AC73"/>
  <c r="AC74"/>
  <c r="AC75"/>
  <c r="AC76"/>
  <c r="AC77"/>
  <c r="AC78"/>
  <c r="AC80"/>
  <c r="AC81"/>
  <c r="AC82"/>
  <c r="AC83"/>
  <c r="AC51"/>
  <c r="AC52"/>
  <c r="AC54"/>
  <c r="AC55"/>
  <c r="X50"/>
  <c r="X51"/>
  <c r="X52"/>
  <c r="X53"/>
  <c r="X54"/>
  <c r="X55"/>
  <c r="X56"/>
  <c r="AC42"/>
  <c r="AC17"/>
  <c r="AC19"/>
  <c r="AC20"/>
  <c r="AC22"/>
  <c r="X16"/>
  <c r="Y16"/>
  <c r="X17"/>
  <c r="Y17"/>
  <c r="X18"/>
  <c r="Y18"/>
  <c r="X19"/>
  <c r="Y19"/>
  <c r="X20"/>
  <c r="Y20"/>
  <c r="X21"/>
  <c r="Y21"/>
  <c r="X22"/>
  <c r="Y22"/>
  <c r="X23"/>
  <c r="Y23"/>
  <c r="AC7"/>
  <c r="Y344"/>
  <c r="Y342"/>
  <c r="Y341"/>
  <c r="Y337"/>
  <c r="Y336"/>
  <c r="Y335"/>
  <c r="Y334"/>
  <c r="Y333"/>
  <c r="Y332"/>
  <c r="Y331"/>
  <c r="Y330"/>
  <c r="Y329"/>
  <c r="Y328"/>
  <c r="Y327"/>
  <c r="Y326"/>
  <c r="Y345" s="1"/>
  <c r="Y324"/>
  <c r="Y323"/>
  <c r="Y322"/>
  <c r="Y321"/>
  <c r="Y320"/>
  <c r="Y319"/>
  <c r="Y318"/>
  <c r="Y317"/>
  <c r="Y316"/>
  <c r="Y315"/>
  <c r="Y314"/>
  <c r="Y313"/>
  <c r="Y312"/>
  <c r="Y311"/>
  <c r="Y310"/>
  <c r="Y309"/>
  <c r="Y302"/>
  <c r="Y300"/>
  <c r="Y299"/>
  <c r="Z299" s="1"/>
  <c r="Y298"/>
  <c r="Z298" s="1"/>
  <c r="Y297"/>
  <c r="Z297" s="1"/>
  <c r="Y296"/>
  <c r="Z296" s="1"/>
  <c r="Y295"/>
  <c r="Z295" s="1"/>
  <c r="Y294"/>
  <c r="Z294" s="1"/>
  <c r="Y293"/>
  <c r="Z293" s="1"/>
  <c r="Y292"/>
  <c r="Z292" s="1"/>
  <c r="Y291"/>
  <c r="Z291" s="1"/>
  <c r="Y290"/>
  <c r="Z290" s="1"/>
  <c r="Y289"/>
  <c r="Z289" s="1"/>
  <c r="Y288"/>
  <c r="Z288" s="1"/>
  <c r="Y287"/>
  <c r="Z287" s="1"/>
  <c r="Y286"/>
  <c r="Z286" s="1"/>
  <c r="Y285"/>
  <c r="Y284"/>
  <c r="Y283"/>
  <c r="Y282"/>
  <c r="Y303" s="1"/>
  <c r="Y280"/>
  <c r="Y279"/>
  <c r="Y262"/>
  <c r="Y261"/>
  <c r="Y260"/>
  <c r="Y259"/>
  <c r="Y281" s="1"/>
  <c r="Y250"/>
  <c r="Y248"/>
  <c r="Y247"/>
  <c r="Y235"/>
  <c r="Y234"/>
  <c r="Y233"/>
  <c r="Y232"/>
  <c r="Y231"/>
  <c r="Y230"/>
  <c r="Y229"/>
  <c r="Y228"/>
  <c r="Y227"/>
  <c r="Y251" s="1"/>
  <c r="Y225"/>
  <c r="Y214"/>
  <c r="Y213"/>
  <c r="Y212"/>
  <c r="Y226" s="1"/>
  <c r="Y205"/>
  <c r="Y203"/>
  <c r="Y195"/>
  <c r="Y194"/>
  <c r="Y193"/>
  <c r="Y192"/>
  <c r="Y191"/>
  <c r="Y190"/>
  <c r="Y189"/>
  <c r="Y188"/>
  <c r="Y187"/>
  <c r="Y186"/>
  <c r="Y185"/>
  <c r="Y184"/>
  <c r="Y183"/>
  <c r="Y182"/>
  <c r="Y181"/>
  <c r="Y180"/>
  <c r="Y206" s="1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53"/>
  <c r="Y151"/>
  <c r="Y150"/>
  <c r="Y149"/>
  <c r="Y148"/>
  <c r="Y147"/>
  <c r="Y146"/>
  <c r="Y145"/>
  <c r="Y144"/>
  <c r="Y143"/>
  <c r="Y142"/>
  <c r="Z142" s="1"/>
  <c r="Y141"/>
  <c r="Z141" s="1"/>
  <c r="Y140"/>
  <c r="Z140" s="1"/>
  <c r="Y139"/>
  <c r="Z139" s="1"/>
  <c r="Y138"/>
  <c r="Z138" s="1"/>
  <c r="Y137"/>
  <c r="Y136"/>
  <c r="Y135"/>
  <c r="Y134"/>
  <c r="Y133"/>
  <c r="Y132"/>
  <c r="Y152" s="1"/>
  <c r="Y131"/>
  <c r="Y130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05"/>
  <c r="Y103"/>
  <c r="Y102"/>
  <c r="Y101"/>
  <c r="Y100"/>
  <c r="Y99"/>
  <c r="Y98"/>
  <c r="Y97"/>
  <c r="Y96"/>
  <c r="Y95"/>
  <c r="Y94"/>
  <c r="Y93"/>
  <c r="Y92"/>
  <c r="Y91"/>
  <c r="Y90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89" s="1"/>
  <c r="Y66"/>
  <c r="Y59"/>
  <c r="Y57"/>
  <c r="Y56"/>
  <c r="Y55"/>
  <c r="Y54"/>
  <c r="Y53"/>
  <c r="Y52"/>
  <c r="Y51"/>
  <c r="Y50"/>
  <c r="Y49"/>
  <c r="Y48"/>
  <c r="Y47"/>
  <c r="Y45"/>
  <c r="Y44"/>
  <c r="Y43"/>
  <c r="Y42"/>
  <c r="Y41"/>
  <c r="Y40"/>
  <c r="Y39"/>
  <c r="Y38"/>
  <c r="Y37"/>
  <c r="Y36"/>
  <c r="Y35"/>
  <c r="Y34"/>
  <c r="Y33"/>
  <c r="Y32"/>
  <c r="Y31"/>
  <c r="Y30"/>
  <c r="Y46" s="1"/>
  <c r="Y29"/>
  <c r="Y28"/>
  <c r="Y26"/>
  <c r="Y25"/>
  <c r="Y24"/>
  <c r="Y15"/>
  <c r="Y14"/>
  <c r="Y13"/>
  <c r="Y12"/>
  <c r="Y10"/>
  <c r="Y9"/>
  <c r="Y8"/>
  <c r="Y7"/>
  <c r="Y6"/>
  <c r="Y5"/>
  <c r="W183" i="11"/>
  <c r="X183"/>
  <c r="W184"/>
  <c r="X184"/>
  <c r="Y184"/>
  <c r="W185"/>
  <c r="X185"/>
  <c r="W186"/>
  <c r="X186"/>
  <c r="AB163"/>
  <c r="W160"/>
  <c r="X160"/>
  <c r="W161"/>
  <c r="X161"/>
  <c r="Y161" s="1"/>
  <c r="W162"/>
  <c r="X162"/>
  <c r="Y162" s="1"/>
  <c r="W163"/>
  <c r="Y163" s="1"/>
  <c r="X163"/>
  <c r="W164"/>
  <c r="X164"/>
  <c r="Y164" s="1"/>
  <c r="W165"/>
  <c r="X165"/>
  <c r="Y165" s="1"/>
  <c r="W166"/>
  <c r="X166"/>
  <c r="Y166" s="1"/>
  <c r="W167"/>
  <c r="Y167" s="1"/>
  <c r="X167"/>
  <c r="W168"/>
  <c r="X168"/>
  <c r="Y168" s="1"/>
  <c r="W169"/>
  <c r="X169"/>
  <c r="AB131"/>
  <c r="AB132"/>
  <c r="AB133"/>
  <c r="AB134"/>
  <c r="AB135"/>
  <c r="AB136"/>
  <c r="W131"/>
  <c r="X131"/>
  <c r="Y131" s="1"/>
  <c r="W132"/>
  <c r="X132"/>
  <c r="Y132" s="1"/>
  <c r="W133"/>
  <c r="X133"/>
  <c r="Y133" s="1"/>
  <c r="W134"/>
  <c r="Y134" s="1"/>
  <c r="X134"/>
  <c r="W135"/>
  <c r="X135"/>
  <c r="Y135" s="1"/>
  <c r="W136"/>
  <c r="Y136" s="1"/>
  <c r="X136"/>
  <c r="W137"/>
  <c r="X137"/>
  <c r="Y137" s="1"/>
  <c r="W138"/>
  <c r="X138"/>
  <c r="W139"/>
  <c r="X139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W105"/>
  <c r="X105"/>
  <c r="W106"/>
  <c r="X106"/>
  <c r="Y106" s="1"/>
  <c r="W107"/>
  <c r="X107"/>
  <c r="W108"/>
  <c r="Y108" s="1"/>
  <c r="X108"/>
  <c r="W109"/>
  <c r="X109"/>
  <c r="W110"/>
  <c r="X110"/>
  <c r="Y110"/>
  <c r="W111"/>
  <c r="X111"/>
  <c r="Y111" s="1"/>
  <c r="W112"/>
  <c r="X112"/>
  <c r="W113"/>
  <c r="X113"/>
  <c r="Y113" s="1"/>
  <c r="W114"/>
  <c r="X114"/>
  <c r="Y114" s="1"/>
  <c r="W115"/>
  <c r="X115"/>
  <c r="W116"/>
  <c r="Y116" s="1"/>
  <c r="X116"/>
  <c r="W117"/>
  <c r="X117"/>
  <c r="W118"/>
  <c r="X118"/>
  <c r="W119"/>
  <c r="X119"/>
  <c r="W120"/>
  <c r="Y120" s="1"/>
  <c r="X120"/>
  <c r="W121"/>
  <c r="X121"/>
  <c r="W122"/>
  <c r="Y122" s="1"/>
  <c r="X122"/>
  <c r="AB88"/>
  <c r="AB74"/>
  <c r="AB75"/>
  <c r="AB76"/>
  <c r="W84"/>
  <c r="X84"/>
  <c r="W85"/>
  <c r="X85"/>
  <c r="W86"/>
  <c r="X86"/>
  <c r="W87"/>
  <c r="X87"/>
  <c r="W88"/>
  <c r="X88"/>
  <c r="W89"/>
  <c r="X89"/>
  <c r="W90"/>
  <c r="X90"/>
  <c r="AB62"/>
  <c r="AB63"/>
  <c r="AB64"/>
  <c r="AB65"/>
  <c r="AB66"/>
  <c r="AB67"/>
  <c r="AB68"/>
  <c r="W62"/>
  <c r="X62"/>
  <c r="Y62"/>
  <c r="W63"/>
  <c r="X63"/>
  <c r="W64"/>
  <c r="X64"/>
  <c r="Y64" s="1"/>
  <c r="W65"/>
  <c r="X65"/>
  <c r="W66"/>
  <c r="X66"/>
  <c r="Y66" s="1"/>
  <c r="W67"/>
  <c r="X67"/>
  <c r="W68"/>
  <c r="X68"/>
  <c r="W69"/>
  <c r="X69"/>
  <c r="AB35"/>
  <c r="AB36"/>
  <c r="AB37"/>
  <c r="AB38"/>
  <c r="AB39"/>
  <c r="W34"/>
  <c r="X34"/>
  <c r="Y34" s="1"/>
  <c r="W35"/>
  <c r="X35"/>
  <c r="W36"/>
  <c r="X36"/>
  <c r="Y36" s="1"/>
  <c r="W37"/>
  <c r="X37"/>
  <c r="W38"/>
  <c r="X38"/>
  <c r="Y38" s="1"/>
  <c r="W39"/>
  <c r="X39"/>
  <c r="W40"/>
  <c r="X40"/>
  <c r="Y40"/>
  <c r="W41"/>
  <c r="X41"/>
  <c r="Y41" s="1"/>
  <c r="W42"/>
  <c r="X42"/>
  <c r="Y42" s="1"/>
  <c r="W43"/>
  <c r="X43"/>
  <c r="Y43" s="1"/>
  <c r="W44"/>
  <c r="X44"/>
  <c r="AB18"/>
  <c r="AB19"/>
  <c r="AB20"/>
  <c r="AB21"/>
  <c r="AB22"/>
  <c r="AB23"/>
  <c r="AB24"/>
  <c r="X23"/>
  <c r="W23"/>
  <c r="Y5" i="14"/>
  <c r="Y6"/>
  <c r="U12"/>
  <c r="T12"/>
  <c r="AB19" i="16"/>
  <c r="AB7"/>
  <c r="AA24"/>
  <c r="Z24"/>
  <c r="AA15"/>
  <c r="Z15"/>
  <c r="X35" i="14"/>
  <c r="W35"/>
  <c r="X18"/>
  <c r="W18"/>
  <c r="Y18" s="1"/>
  <c r="AA188" i="11"/>
  <c r="Z188"/>
  <c r="AA172"/>
  <c r="Z172"/>
  <c r="AA142"/>
  <c r="Z142"/>
  <c r="AA125"/>
  <c r="Z125"/>
  <c r="AA92"/>
  <c r="Z92"/>
  <c r="AA72"/>
  <c r="Z72"/>
  <c r="AA46"/>
  <c r="Z46"/>
  <c r="AA26"/>
  <c r="Z26"/>
  <c r="AB345" i="10"/>
  <c r="AA345"/>
  <c r="AB343"/>
  <c r="AA343"/>
  <c r="AB325"/>
  <c r="AA325"/>
  <c r="AB303"/>
  <c r="AA303"/>
  <c r="AB301"/>
  <c r="AA301"/>
  <c r="AB281"/>
  <c r="AA281"/>
  <c r="AB251"/>
  <c r="AA251"/>
  <c r="AB249"/>
  <c r="AA249"/>
  <c r="AB226"/>
  <c r="AA226"/>
  <c r="AB206"/>
  <c r="AB204"/>
  <c r="AA204"/>
  <c r="AB179"/>
  <c r="AA179"/>
  <c r="AB154"/>
  <c r="AA154"/>
  <c r="AB152"/>
  <c r="AA152"/>
  <c r="AB129"/>
  <c r="AA129"/>
  <c r="AB104"/>
  <c r="AA104"/>
  <c r="AB89"/>
  <c r="AA89"/>
  <c r="AB60"/>
  <c r="AA60"/>
  <c r="AB58"/>
  <c r="AA58"/>
  <c r="AB46"/>
  <c r="AA46"/>
  <c r="AB27"/>
  <c r="AA27"/>
  <c r="AB11"/>
  <c r="AA11"/>
  <c r="AA48" i="9"/>
  <c r="Z48"/>
  <c r="AA31"/>
  <c r="Z31"/>
  <c r="AB96" i="8"/>
  <c r="AA96"/>
  <c r="AB94"/>
  <c r="AA94"/>
  <c r="AB66"/>
  <c r="AA66"/>
  <c r="AB46"/>
  <c r="AA46"/>
  <c r="AB44"/>
  <c r="AA44"/>
  <c r="AB29"/>
  <c r="AA29"/>
  <c r="AA269" i="7"/>
  <c r="Z269"/>
  <c r="AA253"/>
  <c r="Z253"/>
  <c r="AA220"/>
  <c r="Z220"/>
  <c r="AA204"/>
  <c r="Z204"/>
  <c r="AA176"/>
  <c r="Z176"/>
  <c r="AA158"/>
  <c r="Z158"/>
  <c r="AA131"/>
  <c r="Z131"/>
  <c r="AA115"/>
  <c r="Z115"/>
  <c r="AA82"/>
  <c r="Z82"/>
  <c r="AA63"/>
  <c r="Z63"/>
  <c r="AA35"/>
  <c r="Z35"/>
  <c r="AB35" s="1"/>
  <c r="AA17"/>
  <c r="Z17"/>
  <c r="AB15" i="16" l="1"/>
  <c r="Y39" i="11"/>
  <c r="Y68"/>
  <c r="Y88"/>
  <c r="Y109"/>
  <c r="Y107"/>
  <c r="Y186"/>
  <c r="Y87"/>
  <c r="Y117"/>
  <c r="Y112"/>
  <c r="Y27" i="10"/>
  <c r="Y154"/>
  <c r="Y58"/>
  <c r="Z145"/>
  <c r="Y129"/>
  <c r="Y249"/>
  <c r="Y204"/>
  <c r="Y179"/>
  <c r="Y343"/>
  <c r="Y301"/>
  <c r="Y11"/>
  <c r="Y104"/>
  <c r="Y325"/>
  <c r="AB101" i="2" l="1"/>
  <c r="BB53" i="12"/>
  <c r="BB52"/>
  <c r="AZ53"/>
  <c r="AZ52"/>
  <c r="BB45"/>
  <c r="BB44"/>
  <c r="AZ45"/>
  <c r="AZ44"/>
  <c r="BB20"/>
  <c r="BB21"/>
  <c r="AZ21"/>
  <c r="AZ20"/>
  <c r="BB29"/>
  <c r="BB28"/>
  <c r="AZ29"/>
  <c r="AZ28"/>
  <c r="AC40" i="2"/>
  <c r="AC39"/>
  <c r="AC40" i="1"/>
  <c r="AC39"/>
  <c r="BB37" i="12"/>
  <c r="BB36"/>
  <c r="AZ37"/>
  <c r="AZ36"/>
  <c r="AC10" i="2"/>
  <c r="AC9"/>
  <c r="AC10" i="1"/>
  <c r="AC9"/>
  <c r="BB13" i="12"/>
  <c r="BB12"/>
  <c r="AZ13"/>
  <c r="AZ12"/>
  <c r="AB101" i="1"/>
  <c r="AB83"/>
  <c r="AB92"/>
  <c r="AB92" i="2"/>
  <c r="AB40"/>
  <c r="AB39"/>
  <c r="AB40" i="1"/>
  <c r="AB39"/>
  <c r="AB10" i="2"/>
  <c r="AB9"/>
  <c r="AB10" i="1"/>
  <c r="AB9"/>
  <c r="BB61" i="12" l="1"/>
  <c r="BB60"/>
  <c r="BB59"/>
  <c r="BB58"/>
  <c r="BB57"/>
  <c r="BB56"/>
  <c r="AZ61"/>
  <c r="AZ60"/>
  <c r="AZ59"/>
  <c r="AZ58"/>
  <c r="AZ57"/>
  <c r="AZ56"/>
  <c r="AH159" i="24"/>
  <c r="AF159"/>
  <c r="D159" i="23" s="1"/>
  <c r="AE159" i="24"/>
  <c r="C159" i="23" s="1"/>
  <c r="AD159" i="24"/>
  <c r="B159" i="23" s="1"/>
  <c r="AC158" i="24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H157"/>
  <c r="F157" i="23" s="1"/>
  <c r="AF157" i="24"/>
  <c r="D157" i="23" s="1"/>
  <c r="AE157" i="24"/>
  <c r="C157" i="23" s="1"/>
  <c r="AD157" i="24"/>
  <c r="B157" i="23" s="1"/>
  <c r="AH156" i="24"/>
  <c r="F156" i="23" s="1"/>
  <c r="AF156" i="24"/>
  <c r="D156" i="23" s="1"/>
  <c r="AE156" i="24"/>
  <c r="C156" i="23" s="1"/>
  <c r="AD156" i="24"/>
  <c r="B156" i="23" s="1"/>
  <c r="AH155" i="24"/>
  <c r="F155" i="23" s="1"/>
  <c r="AF155" i="24"/>
  <c r="D155" i="23" s="1"/>
  <c r="AE155" i="24"/>
  <c r="C155" i="23" s="1"/>
  <c r="AD155" i="24"/>
  <c r="B155" i="23" s="1"/>
  <c r="AH154" i="24"/>
  <c r="F154" i="23" s="1"/>
  <c r="AF154" i="24"/>
  <c r="D154" i="23" s="1"/>
  <c r="AE154" i="24"/>
  <c r="C154" i="23" s="1"/>
  <c r="AD154" i="24"/>
  <c r="B154" i="23" s="1"/>
  <c r="AH153" i="24"/>
  <c r="F153" i="23" s="1"/>
  <c r="AF153" i="24"/>
  <c r="D153" i="23" s="1"/>
  <c r="AE153" i="24"/>
  <c r="C153" i="23" s="1"/>
  <c r="AD153" i="24"/>
  <c r="B153" i="23" s="1"/>
  <c r="AH152" i="24"/>
  <c r="F152" i="23" s="1"/>
  <c r="AF152" i="24"/>
  <c r="D152" i="23" s="1"/>
  <c r="AE152" i="24"/>
  <c r="C152" i="23" s="1"/>
  <c r="AD152" i="24"/>
  <c r="B152" i="23" s="1"/>
  <c r="AH151" i="24"/>
  <c r="F151" i="23" s="1"/>
  <c r="AF151" i="24"/>
  <c r="D151" i="23" s="1"/>
  <c r="AE151" i="24"/>
  <c r="C151" i="23" s="1"/>
  <c r="AD151" i="24"/>
  <c r="B151" i="23" s="1"/>
  <c r="AH150" i="24"/>
  <c r="F150" i="23" s="1"/>
  <c r="AF150" i="24"/>
  <c r="D150" i="23" s="1"/>
  <c r="AE150" i="24"/>
  <c r="C150" i="23" s="1"/>
  <c r="AD150" i="24"/>
  <c r="B150" i="23" s="1"/>
  <c r="AH149" i="24"/>
  <c r="F149" i="23" s="1"/>
  <c r="AF149" i="24"/>
  <c r="D149" i="23" s="1"/>
  <c r="AE149" i="24"/>
  <c r="C149" i="23" s="1"/>
  <c r="AD149" i="24"/>
  <c r="B149" i="23" s="1"/>
  <c r="AH148" i="24"/>
  <c r="F148" i="23" s="1"/>
  <c r="AF148" i="24"/>
  <c r="D148" i="23" s="1"/>
  <c r="AE148" i="24"/>
  <c r="C148" i="23" s="1"/>
  <c r="AD148" i="24"/>
  <c r="B148" i="23" s="1"/>
  <c r="AH147" i="24"/>
  <c r="F147" i="23" s="1"/>
  <c r="AF147" i="24"/>
  <c r="D147" i="23" s="1"/>
  <c r="AE147" i="24"/>
  <c r="C147" i="23" s="1"/>
  <c r="AD147" i="24"/>
  <c r="B147" i="23" s="1"/>
  <c r="AH146" i="24"/>
  <c r="F146" i="23" s="1"/>
  <c r="AF146" i="24"/>
  <c r="D146" i="23" s="1"/>
  <c r="AE146" i="24"/>
  <c r="C146" i="23" s="1"/>
  <c r="AD146" i="24"/>
  <c r="B146" i="23" s="1"/>
  <c r="AH145" i="24"/>
  <c r="F145" i="23" s="1"/>
  <c r="AF145" i="24"/>
  <c r="D145" i="23" s="1"/>
  <c r="AE145" i="24"/>
  <c r="C145" i="23" s="1"/>
  <c r="AD145" i="24"/>
  <c r="B145" i="23" s="1"/>
  <c r="AH144" i="24"/>
  <c r="F144" i="23" s="1"/>
  <c r="AF144" i="24"/>
  <c r="D144" i="23" s="1"/>
  <c r="AE144" i="24"/>
  <c r="C144" i="23" s="1"/>
  <c r="AD144" i="24"/>
  <c r="B144" i="23" s="1"/>
  <c r="AH143" i="24"/>
  <c r="F143" i="23" s="1"/>
  <c r="AF143" i="24"/>
  <c r="D143" i="23" s="1"/>
  <c r="AE143" i="24"/>
  <c r="C143" i="23" s="1"/>
  <c r="AD143" i="24"/>
  <c r="B143" i="23" s="1"/>
  <c r="AH142" i="24"/>
  <c r="F142" i="23" s="1"/>
  <c r="AF142" i="24"/>
  <c r="D142" i="23" s="1"/>
  <c r="AE142" i="24"/>
  <c r="C142" i="23" s="1"/>
  <c r="AD142" i="24"/>
  <c r="B142" i="23" s="1"/>
  <c r="AH141" i="24"/>
  <c r="F141" i="23" s="1"/>
  <c r="AF141" i="24"/>
  <c r="D141" i="23" s="1"/>
  <c r="AE141" i="24"/>
  <c r="C141" i="23" s="1"/>
  <c r="AD141" i="24"/>
  <c r="B141" i="23" s="1"/>
  <c r="AH140" i="24"/>
  <c r="F140" i="23" s="1"/>
  <c r="AF140" i="24"/>
  <c r="D140" i="23" s="1"/>
  <c r="AE140" i="24"/>
  <c r="C140" i="23" s="1"/>
  <c r="AD140" i="24"/>
  <c r="B140" i="23" s="1"/>
  <c r="AH139" i="24"/>
  <c r="F139" i="23" s="1"/>
  <c r="AF139" i="24"/>
  <c r="D139" i="23" s="1"/>
  <c r="AE139" i="24"/>
  <c r="C139" i="23" s="1"/>
  <c r="AD139" i="24"/>
  <c r="B139" i="23" s="1"/>
  <c r="AH138" i="24"/>
  <c r="F138" i="23" s="1"/>
  <c r="AF138" i="24"/>
  <c r="D138" i="23" s="1"/>
  <c r="AE138" i="24"/>
  <c r="C138" i="23" s="1"/>
  <c r="AD138" i="24"/>
  <c r="B138" i="23" s="1"/>
  <c r="AH137" i="24"/>
  <c r="F137" i="23" s="1"/>
  <c r="AF137" i="24"/>
  <c r="D137" i="23" s="1"/>
  <c r="AE137" i="24"/>
  <c r="C137" i="23" s="1"/>
  <c r="AD137" i="24"/>
  <c r="B137" i="23" s="1"/>
  <c r="AH136" i="24"/>
  <c r="F136" i="23" s="1"/>
  <c r="AF136" i="24"/>
  <c r="D136" i="23" s="1"/>
  <c r="AE136" i="24"/>
  <c r="C136" i="23" s="1"/>
  <c r="AD136" i="24"/>
  <c r="B136" i="23" s="1"/>
  <c r="AH135" i="24"/>
  <c r="F135" i="23" s="1"/>
  <c r="AF135" i="24"/>
  <c r="D135" i="23" s="1"/>
  <c r="AE135" i="24"/>
  <c r="C135" i="23" s="1"/>
  <c r="AD135" i="24"/>
  <c r="B135" i="23" s="1"/>
  <c r="AH134" i="24"/>
  <c r="F134" i="23" s="1"/>
  <c r="AF134" i="24"/>
  <c r="D134" i="23" s="1"/>
  <c r="AE134" i="24"/>
  <c r="C134" i="23" s="1"/>
  <c r="AD134" i="24"/>
  <c r="B134" i="23" s="1"/>
  <c r="AH133" i="24"/>
  <c r="F133" i="23" s="1"/>
  <c r="AF133" i="24"/>
  <c r="D133" i="23" s="1"/>
  <c r="AE133" i="24"/>
  <c r="C133" i="23" s="1"/>
  <c r="AD133" i="24"/>
  <c r="B133" i="23" s="1"/>
  <c r="AH132" i="24"/>
  <c r="F132" i="23" s="1"/>
  <c r="AF132" i="24"/>
  <c r="D132" i="23" s="1"/>
  <c r="AE132" i="24"/>
  <c r="C132" i="23" s="1"/>
  <c r="AD132" i="24"/>
  <c r="B132" i="23" s="1"/>
  <c r="AH131" i="24"/>
  <c r="F131" i="23" s="1"/>
  <c r="AF131" i="24"/>
  <c r="D131" i="23" s="1"/>
  <c r="AE131" i="24"/>
  <c r="C131" i="23" s="1"/>
  <c r="AD131" i="24"/>
  <c r="B131" i="23" s="1"/>
  <c r="AH130" i="24"/>
  <c r="F130" i="23" s="1"/>
  <c r="AF130" i="24"/>
  <c r="D130" i="23" s="1"/>
  <c r="AE130" i="24"/>
  <c r="C130" i="23" s="1"/>
  <c r="AD130" i="24"/>
  <c r="B130" i="23" s="1"/>
  <c r="AH129" i="24"/>
  <c r="F129" i="23" s="1"/>
  <c r="AF129" i="24"/>
  <c r="D129" i="23" s="1"/>
  <c r="AE129" i="24"/>
  <c r="C129" i="23" s="1"/>
  <c r="AD129" i="24"/>
  <c r="B129" i="23" s="1"/>
  <c r="AH128" i="24"/>
  <c r="F128" i="23" s="1"/>
  <c r="AF128" i="24"/>
  <c r="AE128"/>
  <c r="C128" i="23" s="1"/>
  <c r="AD128" i="24"/>
  <c r="AH159" i="22"/>
  <c r="F159" i="20" s="1"/>
  <c r="AF159" i="22"/>
  <c r="D159" i="20" s="1"/>
  <c r="AE159" i="22"/>
  <c r="C159" i="20" s="1"/>
  <c r="AD159" i="22"/>
  <c r="B159" i="20" s="1"/>
  <c r="AC158" i="22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H157"/>
  <c r="F157" i="20" s="1"/>
  <c r="AF157" i="22"/>
  <c r="D157" i="20" s="1"/>
  <c r="AE157" i="22"/>
  <c r="C157" i="20" s="1"/>
  <c r="AD157" i="22"/>
  <c r="B157" i="20" s="1"/>
  <c r="AH156" i="22"/>
  <c r="F156" i="20" s="1"/>
  <c r="AF156" i="22"/>
  <c r="D156" i="20" s="1"/>
  <c r="AE156" i="22"/>
  <c r="C156" i="20" s="1"/>
  <c r="AD156" i="22"/>
  <c r="B156" i="20" s="1"/>
  <c r="AH155" i="22"/>
  <c r="F155" i="20" s="1"/>
  <c r="AF155" i="22"/>
  <c r="D155" i="20" s="1"/>
  <c r="AE155" i="22"/>
  <c r="C155" i="20" s="1"/>
  <c r="AD155" i="22"/>
  <c r="B155" i="20" s="1"/>
  <c r="AH154" i="22"/>
  <c r="F154" i="20" s="1"/>
  <c r="AF154" i="22"/>
  <c r="D154" i="20" s="1"/>
  <c r="AE154" i="22"/>
  <c r="C154" i="20" s="1"/>
  <c r="AD154" i="22"/>
  <c r="B154" i="20" s="1"/>
  <c r="AH153" i="22"/>
  <c r="F153" i="20" s="1"/>
  <c r="AF153" i="22"/>
  <c r="D153" i="20" s="1"/>
  <c r="AE153" i="22"/>
  <c r="C153" i="20" s="1"/>
  <c r="AD153" i="22"/>
  <c r="B153" i="20" s="1"/>
  <c r="AH152" i="22"/>
  <c r="F152" i="20" s="1"/>
  <c r="AF152" i="22"/>
  <c r="D152" i="20" s="1"/>
  <c r="AE152" i="22"/>
  <c r="C152" i="20" s="1"/>
  <c r="AD152" i="22"/>
  <c r="B152" i="20" s="1"/>
  <c r="AH151" i="22"/>
  <c r="F151" i="20" s="1"/>
  <c r="AF151" i="22"/>
  <c r="D151" i="20" s="1"/>
  <c r="AE151" i="22"/>
  <c r="C151" i="20" s="1"/>
  <c r="AD151" i="22"/>
  <c r="B151" i="20" s="1"/>
  <c r="AH150" i="22"/>
  <c r="F150" i="20" s="1"/>
  <c r="AF150" i="22"/>
  <c r="D150" i="20" s="1"/>
  <c r="AE150" i="22"/>
  <c r="C150" i="20" s="1"/>
  <c r="AD150" i="22"/>
  <c r="B150" i="20" s="1"/>
  <c r="AH149" i="22"/>
  <c r="F149" i="20" s="1"/>
  <c r="AF149" i="22"/>
  <c r="D149" i="20" s="1"/>
  <c r="AE149" i="22"/>
  <c r="C149" i="20" s="1"/>
  <c r="AD149" i="22"/>
  <c r="B149" i="20" s="1"/>
  <c r="AH148" i="22"/>
  <c r="F148" i="20" s="1"/>
  <c r="AF148" i="22"/>
  <c r="D148" i="20" s="1"/>
  <c r="AE148" i="22"/>
  <c r="C148" i="20" s="1"/>
  <c r="AD148" i="22"/>
  <c r="B148" i="20" s="1"/>
  <c r="AH147" i="22"/>
  <c r="F147" i="20" s="1"/>
  <c r="AF147" i="22"/>
  <c r="D147" i="20" s="1"/>
  <c r="AE147" i="22"/>
  <c r="C147" i="20" s="1"/>
  <c r="AD147" i="22"/>
  <c r="B147" i="20" s="1"/>
  <c r="AH146" i="22"/>
  <c r="F146" i="20" s="1"/>
  <c r="AF146" i="22"/>
  <c r="D146" i="20" s="1"/>
  <c r="AE146" i="22"/>
  <c r="C146" i="20" s="1"/>
  <c r="AD146" i="22"/>
  <c r="B146" i="20" s="1"/>
  <c r="AH145" i="22"/>
  <c r="F145" i="20" s="1"/>
  <c r="AF145" i="22"/>
  <c r="D145" i="20" s="1"/>
  <c r="AE145" i="22"/>
  <c r="C145" i="20" s="1"/>
  <c r="AD145" i="22"/>
  <c r="B145" i="20" s="1"/>
  <c r="AH144" i="22"/>
  <c r="F144" i="20" s="1"/>
  <c r="AF144" i="22"/>
  <c r="D144" i="20" s="1"/>
  <c r="AE144" i="22"/>
  <c r="C144" i="20" s="1"/>
  <c r="AD144" i="22"/>
  <c r="B144" i="20" s="1"/>
  <c r="AH143" i="22"/>
  <c r="F143" i="20" s="1"/>
  <c r="AF143" i="22"/>
  <c r="D143" i="20" s="1"/>
  <c r="AE143" i="22"/>
  <c r="C143" i="20" s="1"/>
  <c r="AD143" i="22"/>
  <c r="B143" i="20" s="1"/>
  <c r="AH142" i="22"/>
  <c r="F142" i="20" s="1"/>
  <c r="AF142" i="22"/>
  <c r="D142" i="20" s="1"/>
  <c r="AE142" i="22"/>
  <c r="C142" i="20" s="1"/>
  <c r="AD142" i="22"/>
  <c r="B142" i="20" s="1"/>
  <c r="AH141" i="22"/>
  <c r="F141" i="20" s="1"/>
  <c r="AF141" i="22"/>
  <c r="D141" i="20" s="1"/>
  <c r="AE141" i="22"/>
  <c r="C141" i="20" s="1"/>
  <c r="AD141" i="22"/>
  <c r="B141" i="20" s="1"/>
  <c r="AH140" i="22"/>
  <c r="F140" i="20" s="1"/>
  <c r="AF140" i="22"/>
  <c r="D140" i="20" s="1"/>
  <c r="AE140" i="22"/>
  <c r="C140" i="20" s="1"/>
  <c r="AD140" i="22"/>
  <c r="B140" i="20" s="1"/>
  <c r="AH139" i="22"/>
  <c r="F139" i="20" s="1"/>
  <c r="AF139" i="22"/>
  <c r="D139" i="20" s="1"/>
  <c r="AE139" i="22"/>
  <c r="C139" i="20" s="1"/>
  <c r="AD139" i="22"/>
  <c r="B139" i="20" s="1"/>
  <c r="AH138" i="22"/>
  <c r="F138" i="20" s="1"/>
  <c r="AF138" i="22"/>
  <c r="D138" i="20" s="1"/>
  <c r="AE138" i="22"/>
  <c r="C138" i="20" s="1"/>
  <c r="AD138" i="22"/>
  <c r="B138" i="20" s="1"/>
  <c r="AH137" i="22"/>
  <c r="F137" i="20" s="1"/>
  <c r="AF137" i="22"/>
  <c r="D137" i="20" s="1"/>
  <c r="AE137" i="22"/>
  <c r="C137" i="20" s="1"/>
  <c r="AD137" i="22"/>
  <c r="B137" i="20" s="1"/>
  <c r="AH136" i="22"/>
  <c r="F136" i="20" s="1"/>
  <c r="AF136" i="22"/>
  <c r="D136" i="20" s="1"/>
  <c r="AE136" i="22"/>
  <c r="C136" i="20" s="1"/>
  <c r="AD136" i="22"/>
  <c r="B136" i="20" s="1"/>
  <c r="AH135" i="22"/>
  <c r="F135" i="20" s="1"/>
  <c r="AF135" i="22"/>
  <c r="D135" i="20" s="1"/>
  <c r="AE135" i="22"/>
  <c r="C135" i="20" s="1"/>
  <c r="AD135" i="22"/>
  <c r="B135" i="20" s="1"/>
  <c r="AH134" i="22"/>
  <c r="F134" i="20" s="1"/>
  <c r="AF134" i="22"/>
  <c r="D134" i="20" s="1"/>
  <c r="AE134" i="22"/>
  <c r="C134" i="20" s="1"/>
  <c r="AD134" i="22"/>
  <c r="B134" i="20" s="1"/>
  <c r="AH133" i="22"/>
  <c r="F133" i="20" s="1"/>
  <c r="AF133" i="22"/>
  <c r="D133" i="20" s="1"/>
  <c r="AE133" i="22"/>
  <c r="C133" i="20" s="1"/>
  <c r="AD133" i="22"/>
  <c r="B133" i="20" s="1"/>
  <c r="AH132" i="22"/>
  <c r="F132" i="20" s="1"/>
  <c r="AF132" i="22"/>
  <c r="D132" i="20" s="1"/>
  <c r="AE132" i="22"/>
  <c r="C132" i="20" s="1"/>
  <c r="AD132" i="22"/>
  <c r="B132" i="20" s="1"/>
  <c r="AH131" i="22"/>
  <c r="F131" i="20" s="1"/>
  <c r="AF131" i="22"/>
  <c r="D131" i="20" s="1"/>
  <c r="AE131" i="22"/>
  <c r="C131" i="20" s="1"/>
  <c r="AD131" i="22"/>
  <c r="B131" i="20" s="1"/>
  <c r="AH130" i="22"/>
  <c r="F130" i="20" s="1"/>
  <c r="AF130" i="22"/>
  <c r="D130" i="20" s="1"/>
  <c r="AE130" i="22"/>
  <c r="C130" i="20" s="1"/>
  <c r="AD130" i="22"/>
  <c r="B130" i="20" s="1"/>
  <c r="AH129" i="22"/>
  <c r="F129" i="20" s="1"/>
  <c r="AF129" i="22"/>
  <c r="D129" i="20" s="1"/>
  <c r="AE129" i="22"/>
  <c r="C129" i="20" s="1"/>
  <c r="AD129" i="22"/>
  <c r="B129" i="20" s="1"/>
  <c r="AH128" i="22"/>
  <c r="F128" i="20" s="1"/>
  <c r="AF128" i="22"/>
  <c r="AE128"/>
  <c r="C128" i="20" s="1"/>
  <c r="AD128" i="22"/>
  <c r="BK59" i="12"/>
  <c r="BJ59"/>
  <c r="BK58"/>
  <c r="BJ58"/>
  <c r="BK57"/>
  <c r="BJ57"/>
  <c r="BK56"/>
  <c r="BJ56"/>
  <c r="BK53"/>
  <c r="BJ53"/>
  <c r="BK52"/>
  <c r="BJ52"/>
  <c r="BK45"/>
  <c r="BJ45"/>
  <c r="BK44"/>
  <c r="BJ44"/>
  <c r="BK37"/>
  <c r="BJ37"/>
  <c r="BK36"/>
  <c r="BJ36"/>
  <c r="BK29"/>
  <c r="BJ29"/>
  <c r="BK28"/>
  <c r="BJ28"/>
  <c r="BK21"/>
  <c r="BJ21"/>
  <c r="BK20"/>
  <c r="BJ20"/>
  <c r="BK13"/>
  <c r="BJ13"/>
  <c r="BJ61" s="1"/>
  <c r="BK12"/>
  <c r="BK60" s="1"/>
  <c r="BJ12"/>
  <c r="BJ60" s="1"/>
  <c r="AH106" i="2"/>
  <c r="AH105"/>
  <c r="AH104"/>
  <c r="AH97"/>
  <c r="AH96"/>
  <c r="AH95"/>
  <c r="AH88"/>
  <c r="AH87"/>
  <c r="AH86"/>
  <c r="AH79"/>
  <c r="AH78"/>
  <c r="AH77"/>
  <c r="AH74"/>
  <c r="AH70"/>
  <c r="AH71" s="1"/>
  <c r="AH69"/>
  <c r="AH68"/>
  <c r="AH65"/>
  <c r="AH61"/>
  <c r="AH60"/>
  <c r="AH59"/>
  <c r="AH56"/>
  <c r="AH53"/>
  <c r="AH50"/>
  <c r="AH47"/>
  <c r="AH44"/>
  <c r="AH41"/>
  <c r="AH38"/>
  <c r="AH35"/>
  <c r="AH31"/>
  <c r="AH30"/>
  <c r="AH29"/>
  <c r="AH26"/>
  <c r="AH23"/>
  <c r="AH20"/>
  <c r="AH17"/>
  <c r="AH14"/>
  <c r="AH11"/>
  <c r="AH8"/>
  <c r="AB106"/>
  <c r="AB105"/>
  <c r="AB104"/>
  <c r="AB97"/>
  <c r="AB96"/>
  <c r="AB95"/>
  <c r="AB88"/>
  <c r="AB87"/>
  <c r="AB86"/>
  <c r="AB79"/>
  <c r="AB78"/>
  <c r="AB77"/>
  <c r="AB74"/>
  <c r="AB70"/>
  <c r="AB69"/>
  <c r="AB68"/>
  <c r="AB65"/>
  <c r="AB61"/>
  <c r="AB62" s="1"/>
  <c r="AB60"/>
  <c r="AB59"/>
  <c r="AB56"/>
  <c r="AB53"/>
  <c r="AB50"/>
  <c r="AB47"/>
  <c r="AB44"/>
  <c r="AB41"/>
  <c r="AB38"/>
  <c r="AB35"/>
  <c r="AB31"/>
  <c r="AB30"/>
  <c r="AB29"/>
  <c r="AB26"/>
  <c r="AB23"/>
  <c r="AB20"/>
  <c r="AB17"/>
  <c r="AB14"/>
  <c r="AB11"/>
  <c r="AB8"/>
  <c r="AH106" i="1"/>
  <c r="AH105"/>
  <c r="AH104"/>
  <c r="AH97"/>
  <c r="AH96"/>
  <c r="AH95"/>
  <c r="AH88"/>
  <c r="AH87"/>
  <c r="AH86"/>
  <c r="AH79"/>
  <c r="AH78"/>
  <c r="AH77"/>
  <c r="AH74"/>
  <c r="AH70"/>
  <c r="AH69"/>
  <c r="AH68"/>
  <c r="AH65"/>
  <c r="AH61"/>
  <c r="AH60"/>
  <c r="AH59"/>
  <c r="AH56"/>
  <c r="AH53"/>
  <c r="AH50"/>
  <c r="AH47"/>
  <c r="AH44"/>
  <c r="AH41"/>
  <c r="AH38"/>
  <c r="AH35"/>
  <c r="AH31"/>
  <c r="AH30"/>
  <c r="AH29"/>
  <c r="AH26"/>
  <c r="AH23"/>
  <c r="AH20"/>
  <c r="AH17"/>
  <c r="AH14"/>
  <c r="AH11"/>
  <c r="AH8"/>
  <c r="AB30"/>
  <c r="AB31"/>
  <c r="AI106"/>
  <c r="AI105"/>
  <c r="AI104"/>
  <c r="AI101"/>
  <c r="AI97"/>
  <c r="AI96"/>
  <c r="AI95"/>
  <c r="AI92"/>
  <c r="AI88"/>
  <c r="AI87"/>
  <c r="AI86"/>
  <c r="AI83"/>
  <c r="AI79"/>
  <c r="AI78"/>
  <c r="AI77"/>
  <c r="AI74"/>
  <c r="AI70"/>
  <c r="AI69"/>
  <c r="AI68"/>
  <c r="AI65"/>
  <c r="AI61"/>
  <c r="AI60"/>
  <c r="AI59"/>
  <c r="AI56"/>
  <c r="AI53"/>
  <c r="AI50"/>
  <c r="AI47"/>
  <c r="AI44"/>
  <c r="AI41"/>
  <c r="AI38"/>
  <c r="AI35"/>
  <c r="AI31"/>
  <c r="AI30"/>
  <c r="AI29"/>
  <c r="AI26"/>
  <c r="AI23"/>
  <c r="AI20"/>
  <c r="AI17"/>
  <c r="AI14"/>
  <c r="AI11"/>
  <c r="AI8"/>
  <c r="AC106"/>
  <c r="AC105"/>
  <c r="AC104"/>
  <c r="AC101"/>
  <c r="AC97"/>
  <c r="AC96"/>
  <c r="AC95"/>
  <c r="AC92"/>
  <c r="AC88"/>
  <c r="AC87"/>
  <c r="AC86"/>
  <c r="AC83"/>
  <c r="AC79"/>
  <c r="AC78"/>
  <c r="AC77"/>
  <c r="AC74"/>
  <c r="AC70"/>
  <c r="AC69"/>
  <c r="AC68"/>
  <c r="AC65"/>
  <c r="AC61"/>
  <c r="AC60"/>
  <c r="AC59"/>
  <c r="AC56"/>
  <c r="AC53"/>
  <c r="AC50"/>
  <c r="AC47"/>
  <c r="AC44"/>
  <c r="AC41"/>
  <c r="AC38"/>
  <c r="AC35"/>
  <c r="AC31"/>
  <c r="AC30"/>
  <c r="AC29"/>
  <c r="AC26"/>
  <c r="AC23"/>
  <c r="AC20"/>
  <c r="AC17"/>
  <c r="AC14"/>
  <c r="AC11"/>
  <c r="AC8"/>
  <c r="V35" i="9"/>
  <c r="V36"/>
  <c r="V37"/>
  <c r="V40"/>
  <c r="V41"/>
  <c r="V42"/>
  <c r="V43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R19"/>
  <c r="R21"/>
  <c r="R23"/>
  <c r="R25"/>
  <c r="S25" s="1"/>
  <c r="R27"/>
  <c r="S27" s="1"/>
  <c r="R29"/>
  <c r="S29" s="1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8"/>
  <c r="R8"/>
  <c r="Q9"/>
  <c r="R9"/>
  <c r="Q10"/>
  <c r="S10" s="1"/>
  <c r="R10"/>
  <c r="Q11"/>
  <c r="S11" s="1"/>
  <c r="R11"/>
  <c r="Q12"/>
  <c r="R12"/>
  <c r="Q13"/>
  <c r="R13"/>
  <c r="Q14"/>
  <c r="S14" s="1"/>
  <c r="R14"/>
  <c r="Q15"/>
  <c r="S15" s="1"/>
  <c r="R15"/>
  <c r="Q16"/>
  <c r="R16"/>
  <c r="Q17"/>
  <c r="R17"/>
  <c r="Q18"/>
  <c r="S18" s="1"/>
  <c r="R18"/>
  <c r="Q19"/>
  <c r="Q20"/>
  <c r="R20"/>
  <c r="Q21"/>
  <c r="Q22"/>
  <c r="R22"/>
  <c r="Q23"/>
  <c r="Q24"/>
  <c r="R24"/>
  <c r="Q25"/>
  <c r="Q26"/>
  <c r="R26"/>
  <c r="S26" s="1"/>
  <c r="Q27"/>
  <c r="Q28"/>
  <c r="R28"/>
  <c r="S28" s="1"/>
  <c r="Q29"/>
  <c r="W74" i="8"/>
  <c r="W76"/>
  <c r="W81"/>
  <c r="W80"/>
  <c r="W88"/>
  <c r="W87"/>
  <c r="W8"/>
  <c r="K78"/>
  <c r="L73"/>
  <c r="M73"/>
  <c r="L74"/>
  <c r="M74"/>
  <c r="N74"/>
  <c r="L75"/>
  <c r="M75"/>
  <c r="N75" s="1"/>
  <c r="L76"/>
  <c r="M76"/>
  <c r="L77"/>
  <c r="M77"/>
  <c r="L78"/>
  <c r="M78"/>
  <c r="N78" s="1"/>
  <c r="L79"/>
  <c r="M79"/>
  <c r="L80"/>
  <c r="N80" s="1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S78"/>
  <c r="S84"/>
  <c r="S86"/>
  <c r="S90"/>
  <c r="M92"/>
  <c r="L49"/>
  <c r="M49"/>
  <c r="N49" s="1"/>
  <c r="L50"/>
  <c r="M50"/>
  <c r="L51"/>
  <c r="M51"/>
  <c r="L52"/>
  <c r="M52"/>
  <c r="L53"/>
  <c r="M53"/>
  <c r="L54"/>
  <c r="M54"/>
  <c r="N54" s="1"/>
  <c r="L55"/>
  <c r="M55"/>
  <c r="L56"/>
  <c r="N56" s="1"/>
  <c r="M56"/>
  <c r="L57"/>
  <c r="M57"/>
  <c r="L58"/>
  <c r="M58"/>
  <c r="L59"/>
  <c r="M59"/>
  <c r="L60"/>
  <c r="M60"/>
  <c r="L61"/>
  <c r="M61"/>
  <c r="L62"/>
  <c r="M62"/>
  <c r="L63"/>
  <c r="M63"/>
  <c r="L64"/>
  <c r="M64"/>
  <c r="K73"/>
  <c r="K74"/>
  <c r="K75"/>
  <c r="K76"/>
  <c r="K80"/>
  <c r="K81"/>
  <c r="K87"/>
  <c r="K89"/>
  <c r="AE92"/>
  <c r="AD92"/>
  <c r="Y92"/>
  <c r="X92"/>
  <c r="R92"/>
  <c r="L92"/>
  <c r="S74"/>
  <c r="S82"/>
  <c r="S88"/>
  <c r="W49"/>
  <c r="W51"/>
  <c r="W52"/>
  <c r="W54"/>
  <c r="W56"/>
  <c r="W59"/>
  <c r="R49"/>
  <c r="S49"/>
  <c r="R50"/>
  <c r="S50"/>
  <c r="R51"/>
  <c r="S51"/>
  <c r="R52"/>
  <c r="S52"/>
  <c r="R53"/>
  <c r="S53"/>
  <c r="R54"/>
  <c r="S54"/>
  <c r="T54" s="1"/>
  <c r="R55"/>
  <c r="S55"/>
  <c r="R56"/>
  <c r="S56"/>
  <c r="R57"/>
  <c r="S57"/>
  <c r="R58"/>
  <c r="S58"/>
  <c r="R59"/>
  <c r="S59"/>
  <c r="T59" s="1"/>
  <c r="R60"/>
  <c r="S60"/>
  <c r="R61"/>
  <c r="S61"/>
  <c r="R62"/>
  <c r="S62"/>
  <c r="R63"/>
  <c r="S63"/>
  <c r="R64"/>
  <c r="S64"/>
  <c r="R65"/>
  <c r="S65"/>
  <c r="W9"/>
  <c r="W10"/>
  <c r="W11"/>
  <c r="W12"/>
  <c r="W13"/>
  <c r="W14"/>
  <c r="W15"/>
  <c r="W16"/>
  <c r="W17"/>
  <c r="W18"/>
  <c r="W20"/>
  <c r="W21"/>
  <c r="W23"/>
  <c r="R73"/>
  <c r="S73"/>
  <c r="R74"/>
  <c r="R75"/>
  <c r="S75"/>
  <c r="R76"/>
  <c r="S76"/>
  <c r="R77"/>
  <c r="S77"/>
  <c r="R78"/>
  <c r="R79"/>
  <c r="S79"/>
  <c r="R80"/>
  <c r="S80"/>
  <c r="R81"/>
  <c r="S81"/>
  <c r="R82"/>
  <c r="R83"/>
  <c r="S83"/>
  <c r="R84"/>
  <c r="R85"/>
  <c r="S85"/>
  <c r="R86"/>
  <c r="R87"/>
  <c r="S87"/>
  <c r="T87" s="1"/>
  <c r="R88"/>
  <c r="R89"/>
  <c r="S89"/>
  <c r="R90"/>
  <c r="R91"/>
  <c r="S91"/>
  <c r="R9"/>
  <c r="S9"/>
  <c r="R10"/>
  <c r="S10"/>
  <c r="R11"/>
  <c r="S11"/>
  <c r="T11" s="1"/>
  <c r="R12"/>
  <c r="S12"/>
  <c r="R13"/>
  <c r="S13"/>
  <c r="T13" s="1"/>
  <c r="R14"/>
  <c r="S14"/>
  <c r="R15"/>
  <c r="S15"/>
  <c r="R16"/>
  <c r="S16"/>
  <c r="R17"/>
  <c r="S17"/>
  <c r="R18"/>
  <c r="S18"/>
  <c r="R19"/>
  <c r="S19"/>
  <c r="R20"/>
  <c r="S20"/>
  <c r="R21"/>
  <c r="S21"/>
  <c r="T21" s="1"/>
  <c r="R22"/>
  <c r="S22"/>
  <c r="R23"/>
  <c r="S23"/>
  <c r="W237" i="10"/>
  <c r="W238"/>
  <c r="W239"/>
  <c r="W240"/>
  <c r="W241"/>
  <c r="W242"/>
  <c r="W243"/>
  <c r="W244"/>
  <c r="W245"/>
  <c r="W246"/>
  <c r="S235"/>
  <c r="S243"/>
  <c r="S247"/>
  <c r="W196"/>
  <c r="W197"/>
  <c r="W198"/>
  <c r="W199"/>
  <c r="W200"/>
  <c r="W201"/>
  <c r="W202"/>
  <c r="W168"/>
  <c r="W169"/>
  <c r="W170"/>
  <c r="W171"/>
  <c r="W172"/>
  <c r="W173"/>
  <c r="W174"/>
  <c r="W175"/>
  <c r="W176"/>
  <c r="W216"/>
  <c r="W218"/>
  <c r="W219"/>
  <c r="W220"/>
  <c r="W221"/>
  <c r="W222"/>
  <c r="W224"/>
  <c r="S220"/>
  <c r="S225"/>
  <c r="R234"/>
  <c r="S234"/>
  <c r="T234" s="1"/>
  <c r="R235"/>
  <c r="R236"/>
  <c r="S236"/>
  <c r="R237"/>
  <c r="S237"/>
  <c r="R238"/>
  <c r="S238"/>
  <c r="R239"/>
  <c r="S239"/>
  <c r="R240"/>
  <c r="S240"/>
  <c r="R241"/>
  <c r="S241"/>
  <c r="R242"/>
  <c r="S242"/>
  <c r="R243"/>
  <c r="R244"/>
  <c r="S244"/>
  <c r="R245"/>
  <c r="S245"/>
  <c r="R246"/>
  <c r="S246"/>
  <c r="R247"/>
  <c r="R215"/>
  <c r="S215"/>
  <c r="T215"/>
  <c r="R216"/>
  <c r="S216"/>
  <c r="R217"/>
  <c r="S217"/>
  <c r="R218"/>
  <c r="S218"/>
  <c r="T218" s="1"/>
  <c r="R219"/>
  <c r="S219"/>
  <c r="R220"/>
  <c r="R221"/>
  <c r="S221"/>
  <c r="R222"/>
  <c r="S222"/>
  <c r="R223"/>
  <c r="S223"/>
  <c r="R224"/>
  <c r="S224"/>
  <c r="R225"/>
  <c r="T241" l="1"/>
  <c r="T239"/>
  <c r="T237"/>
  <c r="T246"/>
  <c r="T224"/>
  <c r="T242"/>
  <c r="T240"/>
  <c r="T238"/>
  <c r="T236"/>
  <c r="T235"/>
  <c r="T243"/>
  <c r="T89" i="8"/>
  <c r="N73"/>
  <c r="T73"/>
  <c r="AB32" i="2"/>
  <c r="AH98"/>
  <c r="AH98" i="1"/>
  <c r="AI98"/>
  <c r="AI71"/>
  <c r="AI80"/>
  <c r="AI62"/>
  <c r="AI89"/>
  <c r="AI32"/>
  <c r="AI107"/>
  <c r="G128" i="20"/>
  <c r="G129"/>
  <c r="G130"/>
  <c r="G131"/>
  <c r="G132"/>
  <c r="G133"/>
  <c r="G134"/>
  <c r="G135"/>
  <c r="G137"/>
  <c r="G138"/>
  <c r="G139"/>
  <c r="G140"/>
  <c r="G141"/>
  <c r="G143"/>
  <c r="G144"/>
  <c r="G145"/>
  <c r="G146"/>
  <c r="G147"/>
  <c r="G148"/>
  <c r="G149"/>
  <c r="G150"/>
  <c r="G151"/>
  <c r="G152"/>
  <c r="G153"/>
  <c r="G154"/>
  <c r="G156"/>
  <c r="G157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G128" i="23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AF158" i="24"/>
  <c r="D128" i="23"/>
  <c r="D158" s="1"/>
  <c r="E159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C158"/>
  <c r="AI159" i="24"/>
  <c r="F159" i="23"/>
  <c r="AD158" i="24"/>
  <c r="B128" i="23"/>
  <c r="B158" s="1"/>
  <c r="AF158" i="22"/>
  <c r="D128" i="20"/>
  <c r="D158" s="1"/>
  <c r="E159"/>
  <c r="G159"/>
  <c r="F158"/>
  <c r="C158"/>
  <c r="G136"/>
  <c r="G142"/>
  <c r="G155"/>
  <c r="AD158" i="22"/>
  <c r="B128" i="20"/>
  <c r="AH71" i="1"/>
  <c r="AH80" i="2"/>
  <c r="AH80" i="1"/>
  <c r="AH62" i="2"/>
  <c r="AH62" i="1"/>
  <c r="BK61" i="12"/>
  <c r="BK63" s="1"/>
  <c r="AH89" i="1"/>
  <c r="AH89" i="2"/>
  <c r="AH107"/>
  <c r="AH107" i="1"/>
  <c r="AH32" i="2"/>
  <c r="AH32" i="1"/>
  <c r="AH158" i="22"/>
  <c r="AH158" i="24"/>
  <c r="AI129" i="22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29" i="24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G159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 i="22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C98" i="1"/>
  <c r="AC89"/>
  <c r="AC80"/>
  <c r="BB63" i="12"/>
  <c r="AC71" i="1"/>
  <c r="AC62"/>
  <c r="AC107"/>
  <c r="AC32"/>
  <c r="BB62" i="12"/>
  <c r="AZ63"/>
  <c r="AZ62"/>
  <c r="AB98" i="2"/>
  <c r="AB89"/>
  <c r="AB71"/>
  <c r="AB80"/>
  <c r="AB107"/>
  <c r="AE158" i="24"/>
  <c r="AG128"/>
  <c r="AI128"/>
  <c r="AI154" i="22"/>
  <c r="AI155"/>
  <c r="AI156"/>
  <c r="AI157"/>
  <c r="AE158"/>
  <c r="AG128"/>
  <c r="AI159"/>
  <c r="AI128"/>
  <c r="BJ63" i="12"/>
  <c r="BK62"/>
  <c r="BJ62"/>
  <c r="S40" i="9"/>
  <c r="S36"/>
  <c r="S23"/>
  <c r="S19"/>
  <c r="S35"/>
  <c r="S22"/>
  <c r="S20"/>
  <c r="S16"/>
  <c r="S13"/>
  <c r="S9"/>
  <c r="S21"/>
  <c r="S17"/>
  <c r="S12"/>
  <c r="S8"/>
  <c r="S24"/>
  <c r="T75" i="8"/>
  <c r="S92"/>
  <c r="T88"/>
  <c r="T74"/>
  <c r="T18"/>
  <c r="T14"/>
  <c r="T81"/>
  <c r="T79"/>
  <c r="T78"/>
  <c r="T80"/>
  <c r="T52"/>
  <c r="T16"/>
  <c r="T15"/>
  <c r="T12"/>
  <c r="T23"/>
  <c r="T20"/>
  <c r="T9"/>
  <c r="AG158" i="22" l="1"/>
  <c r="E128" i="20"/>
  <c r="E158" i="23"/>
  <c r="F158"/>
  <c r="G158" s="1"/>
  <c r="G159"/>
  <c r="E128"/>
  <c r="B158" i="20"/>
  <c r="E158" s="1"/>
  <c r="G158"/>
  <c r="AI158" i="22"/>
  <c r="AI158" i="24"/>
  <c r="R198" i="10"/>
  <c r="S198"/>
  <c r="R199"/>
  <c r="S199"/>
  <c r="R200"/>
  <c r="S200"/>
  <c r="R201"/>
  <c r="S201"/>
  <c r="R202"/>
  <c r="S202"/>
  <c r="R166"/>
  <c r="S166"/>
  <c r="T166" s="1"/>
  <c r="R167"/>
  <c r="S167"/>
  <c r="R168"/>
  <c r="S168"/>
  <c r="R169"/>
  <c r="S169"/>
  <c r="R170"/>
  <c r="S170"/>
  <c r="R171"/>
  <c r="S171"/>
  <c r="R172"/>
  <c r="S172"/>
  <c r="R173"/>
  <c r="S173"/>
  <c r="R174"/>
  <c r="S174"/>
  <c r="R175"/>
  <c r="S175"/>
  <c r="R176"/>
  <c r="S176"/>
  <c r="W286"/>
  <c r="W287"/>
  <c r="W288"/>
  <c r="W289"/>
  <c r="W290"/>
  <c r="W291"/>
  <c r="W292"/>
  <c r="W293"/>
  <c r="W294"/>
  <c r="W295"/>
  <c r="W296"/>
  <c r="W297"/>
  <c r="W298"/>
  <c r="W299"/>
  <c r="W300"/>
  <c r="S289"/>
  <c r="S291"/>
  <c r="S297"/>
  <c r="S299"/>
  <c r="W333"/>
  <c r="W334"/>
  <c r="W335"/>
  <c r="W336"/>
  <c r="W337"/>
  <c r="W314"/>
  <c r="W315"/>
  <c r="W316"/>
  <c r="W317"/>
  <c r="W318"/>
  <c r="W319"/>
  <c r="W321"/>
  <c r="S315"/>
  <c r="S317"/>
  <c r="S323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S267"/>
  <c r="S269"/>
  <c r="S271"/>
  <c r="S273"/>
  <c r="S275"/>
  <c r="S277"/>
  <c r="S279"/>
  <c r="R330"/>
  <c r="S330"/>
  <c r="R331"/>
  <c r="S331"/>
  <c r="R332"/>
  <c r="S332"/>
  <c r="R333"/>
  <c r="S333"/>
  <c r="T333" s="1"/>
  <c r="R334"/>
  <c r="S334"/>
  <c r="R335"/>
  <c r="S335"/>
  <c r="T335" s="1"/>
  <c r="R336"/>
  <c r="S336"/>
  <c r="R337"/>
  <c r="S337"/>
  <c r="T337" s="1"/>
  <c r="R338"/>
  <c r="S338"/>
  <c r="R339"/>
  <c r="S339"/>
  <c r="R340"/>
  <c r="S340"/>
  <c r="R341"/>
  <c r="S341"/>
  <c r="R342"/>
  <c r="S342"/>
  <c r="R287"/>
  <c r="S287"/>
  <c r="T287" s="1"/>
  <c r="R288"/>
  <c r="S288"/>
  <c r="R289"/>
  <c r="R290"/>
  <c r="T290" s="1"/>
  <c r="S290"/>
  <c r="R291"/>
  <c r="R292"/>
  <c r="S292"/>
  <c r="T292" s="1"/>
  <c r="R293"/>
  <c r="S293"/>
  <c r="R294"/>
  <c r="S294"/>
  <c r="R295"/>
  <c r="S295"/>
  <c r="R296"/>
  <c r="S296"/>
  <c r="T296" s="1"/>
  <c r="R297"/>
  <c r="R298"/>
  <c r="S298"/>
  <c r="R299"/>
  <c r="R300"/>
  <c r="S300"/>
  <c r="R313"/>
  <c r="S313"/>
  <c r="T313" s="1"/>
  <c r="R314"/>
  <c r="S314"/>
  <c r="T314" s="1"/>
  <c r="R315"/>
  <c r="R316"/>
  <c r="T316" s="1"/>
  <c r="S316"/>
  <c r="R317"/>
  <c r="R318"/>
  <c r="S318"/>
  <c r="T318" s="1"/>
  <c r="R319"/>
  <c r="S319"/>
  <c r="R320"/>
  <c r="S320"/>
  <c r="R321"/>
  <c r="S321"/>
  <c r="T321" s="1"/>
  <c r="R322"/>
  <c r="S322"/>
  <c r="R323"/>
  <c r="R324"/>
  <c r="S324"/>
  <c r="R279"/>
  <c r="R267"/>
  <c r="R268"/>
  <c r="S268"/>
  <c r="R269"/>
  <c r="R270"/>
  <c r="S270"/>
  <c r="T270" s="1"/>
  <c r="R271"/>
  <c r="R272"/>
  <c r="S272"/>
  <c r="R273"/>
  <c r="R274"/>
  <c r="S274"/>
  <c r="R275"/>
  <c r="R276"/>
  <c r="S276"/>
  <c r="R277"/>
  <c r="R278"/>
  <c r="S278"/>
  <c r="T278" s="1"/>
  <c r="R280"/>
  <c r="S280"/>
  <c r="T280" s="1"/>
  <c r="W37"/>
  <c r="W8"/>
  <c r="W7"/>
  <c r="W5"/>
  <c r="S148"/>
  <c r="R148"/>
  <c r="M148"/>
  <c r="L148"/>
  <c r="W134"/>
  <c r="W135"/>
  <c r="W136"/>
  <c r="W138"/>
  <c r="W139"/>
  <c r="W140"/>
  <c r="W141"/>
  <c r="W142"/>
  <c r="W143"/>
  <c r="W147"/>
  <c r="W114"/>
  <c r="W115"/>
  <c r="W116"/>
  <c r="W117"/>
  <c r="W118"/>
  <c r="W119"/>
  <c r="W120"/>
  <c r="W121"/>
  <c r="W122"/>
  <c r="W124"/>
  <c r="W125"/>
  <c r="W127"/>
  <c r="W93"/>
  <c r="W94"/>
  <c r="W95"/>
  <c r="W96"/>
  <c r="W97"/>
  <c r="W98"/>
  <c r="W70"/>
  <c r="W71"/>
  <c r="W72"/>
  <c r="W73"/>
  <c r="W74"/>
  <c r="W75"/>
  <c r="W76"/>
  <c r="W77"/>
  <c r="W78"/>
  <c r="W80"/>
  <c r="W82"/>
  <c r="W83"/>
  <c r="W51"/>
  <c r="W52"/>
  <c r="W54"/>
  <c r="W55"/>
  <c r="R32"/>
  <c r="S32"/>
  <c r="R33"/>
  <c r="T33" s="1"/>
  <c r="S33"/>
  <c r="R34"/>
  <c r="S34"/>
  <c r="R35"/>
  <c r="S35"/>
  <c r="R36"/>
  <c r="S36"/>
  <c r="T36" s="1"/>
  <c r="R37"/>
  <c r="S37"/>
  <c r="T37" s="1"/>
  <c r="R38"/>
  <c r="S38"/>
  <c r="R39"/>
  <c r="S39"/>
  <c r="R40"/>
  <c r="S40"/>
  <c r="T40" s="1"/>
  <c r="R41"/>
  <c r="S41"/>
  <c r="R42"/>
  <c r="S42"/>
  <c r="R43"/>
  <c r="S43"/>
  <c r="R44"/>
  <c r="S44"/>
  <c r="R45"/>
  <c r="S45"/>
  <c r="T45" s="1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72"/>
  <c r="S72"/>
  <c r="R73"/>
  <c r="S73"/>
  <c r="R74"/>
  <c r="S74"/>
  <c r="R75"/>
  <c r="S75"/>
  <c r="R76"/>
  <c r="S76"/>
  <c r="R77"/>
  <c r="S77"/>
  <c r="R78"/>
  <c r="S78"/>
  <c r="R79"/>
  <c r="S79"/>
  <c r="R80"/>
  <c r="T80" s="1"/>
  <c r="S80"/>
  <c r="R81"/>
  <c r="S81"/>
  <c r="R82"/>
  <c r="S82"/>
  <c r="R83"/>
  <c r="S83"/>
  <c r="R84"/>
  <c r="S84"/>
  <c r="R85"/>
  <c r="S85"/>
  <c r="R86"/>
  <c r="S86"/>
  <c r="R87"/>
  <c r="S87"/>
  <c r="T83" l="1"/>
  <c r="T16"/>
  <c r="T32"/>
  <c r="T299"/>
  <c r="T315"/>
  <c r="T289"/>
  <c r="T78"/>
  <c r="T72"/>
  <c r="T19"/>
  <c r="T17"/>
  <c r="T39"/>
  <c r="T272"/>
  <c r="T336"/>
  <c r="T334"/>
  <c r="T332"/>
  <c r="T330"/>
  <c r="T317"/>
  <c r="T291"/>
  <c r="T300"/>
  <c r="T295"/>
  <c r="T293"/>
  <c r="T288"/>
  <c r="T297"/>
  <c r="T200"/>
  <c r="T172"/>
  <c r="T201"/>
  <c r="T198"/>
  <c r="T202"/>
  <c r="T199"/>
  <c r="T175"/>
  <c r="T170"/>
  <c r="T174"/>
  <c r="T167"/>
  <c r="T171"/>
  <c r="T169"/>
  <c r="T298"/>
  <c r="T294"/>
  <c r="T273"/>
  <c r="T269"/>
  <c r="T271"/>
  <c r="T275"/>
  <c r="T268"/>
  <c r="T279"/>
  <c r="T276"/>
  <c r="T274"/>
  <c r="T267"/>
  <c r="T82"/>
  <c r="T75"/>
  <c r="T34"/>
  <c r="T35"/>
  <c r="T76"/>
  <c r="T20"/>
  <c r="T73"/>
  <c r="T15"/>
  <c r="R134"/>
  <c r="S134"/>
  <c r="T134" s="1"/>
  <c r="R135"/>
  <c r="S135"/>
  <c r="T135" s="1"/>
  <c r="R136"/>
  <c r="S136"/>
  <c r="T136" s="1"/>
  <c r="R137"/>
  <c r="S137"/>
  <c r="R138"/>
  <c r="S138"/>
  <c r="T138" s="1"/>
  <c r="R139"/>
  <c r="S139"/>
  <c r="T139" s="1"/>
  <c r="R140"/>
  <c r="S140"/>
  <c r="R141"/>
  <c r="S141"/>
  <c r="R142"/>
  <c r="S142"/>
  <c r="R143"/>
  <c r="S143"/>
  <c r="R144"/>
  <c r="S144"/>
  <c r="R145"/>
  <c r="S145"/>
  <c r="R146"/>
  <c r="S146"/>
  <c r="R147"/>
  <c r="S147"/>
  <c r="R149"/>
  <c r="S149"/>
  <c r="R150"/>
  <c r="S150"/>
  <c r="R151"/>
  <c r="S151"/>
  <c r="R51"/>
  <c r="S51"/>
  <c r="T51" s="1"/>
  <c r="R52"/>
  <c r="S52"/>
  <c r="T52" s="1"/>
  <c r="R53"/>
  <c r="S53"/>
  <c r="R54"/>
  <c r="S54"/>
  <c r="R55"/>
  <c r="S55"/>
  <c r="T55" s="1"/>
  <c r="R56"/>
  <c r="S56"/>
  <c r="R57"/>
  <c r="S57"/>
  <c r="R115"/>
  <c r="S115"/>
  <c r="T115" s="1"/>
  <c r="R116"/>
  <c r="S116"/>
  <c r="T116" s="1"/>
  <c r="R117"/>
  <c r="S117"/>
  <c r="T117" s="1"/>
  <c r="R118"/>
  <c r="S118"/>
  <c r="R119"/>
  <c r="S119"/>
  <c r="R120"/>
  <c r="S120"/>
  <c r="T120" s="1"/>
  <c r="R121"/>
  <c r="S121"/>
  <c r="T121" s="1"/>
  <c r="R122"/>
  <c r="S122"/>
  <c r="T122" s="1"/>
  <c r="R123"/>
  <c r="S123"/>
  <c r="R124"/>
  <c r="S124"/>
  <c r="T124" s="1"/>
  <c r="R125"/>
  <c r="S125"/>
  <c r="T125" s="1"/>
  <c r="R126"/>
  <c r="S126"/>
  <c r="R127"/>
  <c r="S127"/>
  <c r="R128"/>
  <c r="S128"/>
  <c r="W22"/>
  <c r="R95"/>
  <c r="S95"/>
  <c r="R96"/>
  <c r="S96"/>
  <c r="R97"/>
  <c r="S97"/>
  <c r="R98"/>
  <c r="S98"/>
  <c r="R99"/>
  <c r="S99"/>
  <c r="R100"/>
  <c r="S100"/>
  <c r="R101"/>
  <c r="S101"/>
  <c r="R102"/>
  <c r="S102"/>
  <c r="R103"/>
  <c r="S103"/>
  <c r="V131" i="11"/>
  <c r="V132"/>
  <c r="V133"/>
  <c r="V134"/>
  <c r="V135"/>
  <c r="V136"/>
  <c r="V137"/>
  <c r="V138"/>
  <c r="V139"/>
  <c r="V140"/>
  <c r="V141"/>
  <c r="V57"/>
  <c r="V58"/>
  <c r="V59"/>
  <c r="V60"/>
  <c r="V61"/>
  <c r="V62"/>
  <c r="V67"/>
  <c r="V45"/>
  <c r="V178"/>
  <c r="V179"/>
  <c r="V180"/>
  <c r="V181"/>
  <c r="V182"/>
  <c r="V184"/>
  <c r="V185"/>
  <c r="V186"/>
  <c r="Q161"/>
  <c r="R161"/>
  <c r="Q162"/>
  <c r="S162" s="1"/>
  <c r="R162"/>
  <c r="Q163"/>
  <c r="R163"/>
  <c r="S163" s="1"/>
  <c r="Q164"/>
  <c r="R164"/>
  <c r="Q165"/>
  <c r="R165"/>
  <c r="S165" s="1"/>
  <c r="Q166"/>
  <c r="R166"/>
  <c r="Q167"/>
  <c r="R167"/>
  <c r="S167" s="1"/>
  <c r="Q168"/>
  <c r="R168"/>
  <c r="Q169"/>
  <c r="R169"/>
  <c r="S169" s="1"/>
  <c r="Q170"/>
  <c r="R170"/>
  <c r="S170" s="1"/>
  <c r="Q171"/>
  <c r="R171"/>
  <c r="R135"/>
  <c r="R139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84"/>
  <c r="V86"/>
  <c r="V87"/>
  <c r="V88"/>
  <c r="V74"/>
  <c r="V33"/>
  <c r="V34"/>
  <c r="V35"/>
  <c r="V36"/>
  <c r="V37"/>
  <c r="V38"/>
  <c r="V39"/>
  <c r="V40"/>
  <c r="V41"/>
  <c r="V42"/>
  <c r="R36"/>
  <c r="R42"/>
  <c r="R44"/>
  <c r="V14"/>
  <c r="V15"/>
  <c r="V16"/>
  <c r="V17"/>
  <c r="V18"/>
  <c r="V19"/>
  <c r="V20"/>
  <c r="V21"/>
  <c r="V22"/>
  <c r="V23"/>
  <c r="V24"/>
  <c r="R19"/>
  <c r="R23"/>
  <c r="Q179"/>
  <c r="R179"/>
  <c r="S179" s="1"/>
  <c r="Q180"/>
  <c r="R180"/>
  <c r="S180" s="1"/>
  <c r="Q181"/>
  <c r="R181"/>
  <c r="Q182"/>
  <c r="R182"/>
  <c r="S182" s="1"/>
  <c r="Q183"/>
  <c r="R183"/>
  <c r="Q184"/>
  <c r="R184"/>
  <c r="S184" s="1"/>
  <c r="Q185"/>
  <c r="R185"/>
  <c r="S185" s="1"/>
  <c r="Q186"/>
  <c r="R186"/>
  <c r="V155"/>
  <c r="V156"/>
  <c r="V157"/>
  <c r="V158"/>
  <c r="V159"/>
  <c r="V160"/>
  <c r="V161"/>
  <c r="V162"/>
  <c r="V163"/>
  <c r="V164"/>
  <c r="V165"/>
  <c r="V166"/>
  <c r="V167"/>
  <c r="V168"/>
  <c r="V169"/>
  <c r="V170"/>
  <c r="Q129"/>
  <c r="R129"/>
  <c r="S129" s="1"/>
  <c r="Q130"/>
  <c r="R130"/>
  <c r="S130" s="1"/>
  <c r="Q131"/>
  <c r="R131"/>
  <c r="S131" s="1"/>
  <c r="Q132"/>
  <c r="R132"/>
  <c r="Q133"/>
  <c r="R133"/>
  <c r="S133" s="1"/>
  <c r="Q134"/>
  <c r="R134"/>
  <c r="S134" s="1"/>
  <c r="Q135"/>
  <c r="Q136"/>
  <c r="R136"/>
  <c r="Q137"/>
  <c r="R137"/>
  <c r="Q138"/>
  <c r="R138"/>
  <c r="Q139"/>
  <c r="Q140"/>
  <c r="R140"/>
  <c r="Q141"/>
  <c r="R141"/>
  <c r="Q105"/>
  <c r="R105"/>
  <c r="S105" s="1"/>
  <c r="Q106"/>
  <c r="R106"/>
  <c r="S106" s="1"/>
  <c r="Q107"/>
  <c r="R107"/>
  <c r="S107" s="1"/>
  <c r="Q108"/>
  <c r="R108"/>
  <c r="Q109"/>
  <c r="R109"/>
  <c r="S109" s="1"/>
  <c r="Q110"/>
  <c r="R110"/>
  <c r="S110" s="1"/>
  <c r="Q111"/>
  <c r="R111"/>
  <c r="S111" s="1"/>
  <c r="Q112"/>
  <c r="R112"/>
  <c r="Q113"/>
  <c r="R113"/>
  <c r="S113" s="1"/>
  <c r="Q114"/>
  <c r="R114"/>
  <c r="S114" s="1"/>
  <c r="Q115"/>
  <c r="R115"/>
  <c r="Q116"/>
  <c r="R116"/>
  <c r="Q117"/>
  <c r="R117"/>
  <c r="Q118"/>
  <c r="R118"/>
  <c r="Q119"/>
  <c r="R119"/>
  <c r="Q120"/>
  <c r="R120"/>
  <c r="Q121"/>
  <c r="R121"/>
  <c r="Q122"/>
  <c r="R122"/>
  <c r="Q123"/>
  <c r="R123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60"/>
  <c r="R60"/>
  <c r="Q61"/>
  <c r="R61"/>
  <c r="Q62"/>
  <c r="R62"/>
  <c r="Q63"/>
  <c r="R63"/>
  <c r="Q64"/>
  <c r="R64"/>
  <c r="Q65"/>
  <c r="R65"/>
  <c r="Q66"/>
  <c r="R66"/>
  <c r="Q67"/>
  <c r="R67"/>
  <c r="Q68"/>
  <c r="R68"/>
  <c r="Q69"/>
  <c r="R69"/>
  <c r="Q70"/>
  <c r="R70"/>
  <c r="Q71"/>
  <c r="R71"/>
  <c r="V65"/>
  <c r="Q19"/>
  <c r="Q20"/>
  <c r="R20"/>
  <c r="Q21"/>
  <c r="S21" s="1"/>
  <c r="R21"/>
  <c r="Q22"/>
  <c r="R22"/>
  <c r="Q23"/>
  <c r="Q24"/>
  <c r="R24"/>
  <c r="Q31"/>
  <c r="R31"/>
  <c r="Q32"/>
  <c r="R32"/>
  <c r="Q33"/>
  <c r="R33"/>
  <c r="Q34"/>
  <c r="R34"/>
  <c r="Q35"/>
  <c r="R35"/>
  <c r="Q36"/>
  <c r="Q37"/>
  <c r="R37"/>
  <c r="S37" s="1"/>
  <c r="Q38"/>
  <c r="R38"/>
  <c r="Q39"/>
  <c r="R39"/>
  <c r="S39" s="1"/>
  <c r="Q40"/>
  <c r="R40"/>
  <c r="Q41"/>
  <c r="R41"/>
  <c r="S41" s="1"/>
  <c r="Q42"/>
  <c r="Q43"/>
  <c r="R43"/>
  <c r="Q44"/>
  <c r="Q45"/>
  <c r="R45"/>
  <c r="S45" s="1"/>
  <c r="V19" i="16"/>
  <c r="V9"/>
  <c r="V6"/>
  <c r="X20"/>
  <c r="R20"/>
  <c r="Q20"/>
  <c r="L20"/>
  <c r="K20"/>
  <c r="N9" i="14"/>
  <c r="O9"/>
  <c r="P9" s="1"/>
  <c r="N10"/>
  <c r="O10"/>
  <c r="P10" s="1"/>
  <c r="N11"/>
  <c r="O11"/>
  <c r="N12"/>
  <c r="O12"/>
  <c r="N13"/>
  <c r="O13"/>
  <c r="V260" i="7"/>
  <c r="V261"/>
  <c r="V262"/>
  <c r="V263"/>
  <c r="V264"/>
  <c r="V235"/>
  <c r="V236"/>
  <c r="V237"/>
  <c r="V238"/>
  <c r="V239"/>
  <c r="V240"/>
  <c r="V241"/>
  <c r="V242"/>
  <c r="V243"/>
  <c r="R237"/>
  <c r="R249"/>
  <c r="V214"/>
  <c r="V215"/>
  <c r="V216"/>
  <c r="V217"/>
  <c r="R211"/>
  <c r="R214"/>
  <c r="R215"/>
  <c r="R216"/>
  <c r="V200"/>
  <c r="V201"/>
  <c r="V167"/>
  <c r="V168"/>
  <c r="V169"/>
  <c r="V170"/>
  <c r="V149"/>
  <c r="V150"/>
  <c r="V151"/>
  <c r="V152"/>
  <c r="V153"/>
  <c r="V154"/>
  <c r="V97"/>
  <c r="V98"/>
  <c r="V99"/>
  <c r="V100"/>
  <c r="V101"/>
  <c r="V102"/>
  <c r="V103"/>
  <c r="V104"/>
  <c r="V105"/>
  <c r="V106"/>
  <c r="V107"/>
  <c r="V108"/>
  <c r="V109"/>
  <c r="V110"/>
  <c r="V111"/>
  <c r="R110"/>
  <c r="V61"/>
  <c r="V62"/>
  <c r="V51"/>
  <c r="V52"/>
  <c r="V53"/>
  <c r="V54"/>
  <c r="V55"/>
  <c r="V56"/>
  <c r="V23"/>
  <c r="V24"/>
  <c r="V25"/>
  <c r="V26"/>
  <c r="V27"/>
  <c r="V28"/>
  <c r="Q23"/>
  <c r="R23"/>
  <c r="Q24"/>
  <c r="R24"/>
  <c r="Q25"/>
  <c r="R25"/>
  <c r="S25"/>
  <c r="Q26"/>
  <c r="S26" s="1"/>
  <c r="R26"/>
  <c r="Q27"/>
  <c r="R27"/>
  <c r="S27" s="1"/>
  <c r="Q28"/>
  <c r="R28"/>
  <c r="Q29"/>
  <c r="R29"/>
  <c r="Q30"/>
  <c r="R30"/>
  <c r="Q31"/>
  <c r="R31"/>
  <c r="Q32"/>
  <c r="R32"/>
  <c r="Q33"/>
  <c r="R33"/>
  <c r="Q235"/>
  <c r="R235"/>
  <c r="Q236"/>
  <c r="R236"/>
  <c r="S236" s="1"/>
  <c r="Q237"/>
  <c r="Q238"/>
  <c r="R238"/>
  <c r="Q239"/>
  <c r="R239"/>
  <c r="Q240"/>
  <c r="R240"/>
  <c r="Q241"/>
  <c r="R241"/>
  <c r="Q242"/>
  <c r="S242" s="1"/>
  <c r="R242"/>
  <c r="Q243"/>
  <c r="R243"/>
  <c r="Q244"/>
  <c r="R244"/>
  <c r="Q245"/>
  <c r="R245"/>
  <c r="Q246"/>
  <c r="R246"/>
  <c r="Q247"/>
  <c r="R247"/>
  <c r="Q248"/>
  <c r="R248"/>
  <c r="Q249"/>
  <c r="Q250"/>
  <c r="R250"/>
  <c r="Q251"/>
  <c r="R251"/>
  <c r="S251" s="1"/>
  <c r="Q211"/>
  <c r="Q212"/>
  <c r="R212"/>
  <c r="Q213"/>
  <c r="R213"/>
  <c r="Q214"/>
  <c r="Q215"/>
  <c r="Q216"/>
  <c r="Q217"/>
  <c r="R217"/>
  <c r="S217" s="1"/>
  <c r="Q218"/>
  <c r="R218"/>
  <c r="Q100"/>
  <c r="R100"/>
  <c r="S100" s="1"/>
  <c r="Q101"/>
  <c r="R101"/>
  <c r="S101" s="1"/>
  <c r="Q102"/>
  <c r="R102"/>
  <c r="S102" s="1"/>
  <c r="Q103"/>
  <c r="R103"/>
  <c r="Q104"/>
  <c r="R104"/>
  <c r="Q105"/>
  <c r="R105"/>
  <c r="S105" s="1"/>
  <c r="Q106"/>
  <c r="R106"/>
  <c r="S106" s="1"/>
  <c r="Q107"/>
  <c r="R107"/>
  <c r="Q108"/>
  <c r="R108"/>
  <c r="S108" s="1"/>
  <c r="Q109"/>
  <c r="R109"/>
  <c r="S109" s="1"/>
  <c r="Q110"/>
  <c r="Q111"/>
  <c r="R111"/>
  <c r="Q112"/>
  <c r="R112"/>
  <c r="Q113"/>
  <c r="R113"/>
  <c r="Q114"/>
  <c r="R114"/>
  <c r="Q146"/>
  <c r="R146"/>
  <c r="Q147"/>
  <c r="R147"/>
  <c r="Q148"/>
  <c r="R148"/>
  <c r="Q149"/>
  <c r="R149"/>
  <c r="Q150"/>
  <c r="R150"/>
  <c r="Q151"/>
  <c r="R151"/>
  <c r="Q152"/>
  <c r="R152"/>
  <c r="Q153"/>
  <c r="R153"/>
  <c r="Q154"/>
  <c r="R154"/>
  <c r="P11" i="14" l="1"/>
  <c r="S23" i="11"/>
  <c r="S32"/>
  <c r="S22"/>
  <c r="S67"/>
  <c r="S61"/>
  <c r="S82"/>
  <c r="S80"/>
  <c r="S78"/>
  <c r="S137"/>
  <c r="S36"/>
  <c r="S164"/>
  <c r="S135"/>
  <c r="S35"/>
  <c r="S33"/>
  <c r="S31"/>
  <c r="S64"/>
  <c r="S62"/>
  <c r="S60"/>
  <c r="S87"/>
  <c r="S83"/>
  <c r="S81"/>
  <c r="S79"/>
  <c r="S123"/>
  <c r="S121"/>
  <c r="S117"/>
  <c r="S115"/>
  <c r="S44"/>
  <c r="S161"/>
  <c r="S211" i="7"/>
  <c r="S153"/>
  <c r="S151"/>
  <c r="S149"/>
  <c r="S147"/>
  <c r="S247"/>
  <c r="S245"/>
  <c r="S243"/>
  <c r="S241"/>
  <c r="S239"/>
  <c r="S237"/>
  <c r="S235"/>
  <c r="S28"/>
  <c r="S110"/>
  <c r="S215"/>
  <c r="S249"/>
  <c r="S154"/>
  <c r="S152"/>
  <c r="S150"/>
  <c r="S148"/>
  <c r="S146"/>
  <c r="S212"/>
  <c r="S248"/>
  <c r="S244"/>
  <c r="S240"/>
  <c r="S216"/>
  <c r="T97" i="10"/>
  <c r="T95"/>
  <c r="T127"/>
  <c r="T147"/>
  <c r="T98"/>
  <c r="T140"/>
  <c r="T54"/>
  <c r="S136" i="11"/>
  <c r="S132"/>
  <c r="S112"/>
  <c r="S108"/>
  <c r="S116"/>
  <c r="S34"/>
  <c r="S24"/>
  <c r="S20"/>
  <c r="S246" i="7"/>
  <c r="S238"/>
  <c r="S214"/>
  <c r="S218"/>
  <c r="S111"/>
  <c r="S103"/>
  <c r="S213"/>
  <c r="W79" i="1" l="1"/>
  <c r="W40" i="2"/>
  <c r="W39"/>
  <c r="W40" i="1"/>
  <c r="W61" s="1"/>
  <c r="W39"/>
  <c r="W60" s="1"/>
  <c r="W10" i="2"/>
  <c r="W9"/>
  <c r="W10" i="1"/>
  <c r="W31" s="1"/>
  <c r="W9"/>
  <c r="W106"/>
  <c r="W105"/>
  <c r="W104"/>
  <c r="W101"/>
  <c r="W97"/>
  <c r="W96"/>
  <c r="W95"/>
  <c r="W92"/>
  <c r="W88"/>
  <c r="W87"/>
  <c r="W86"/>
  <c r="W83"/>
  <c r="W74"/>
  <c r="W70"/>
  <c r="W69"/>
  <c r="W68"/>
  <c r="W65"/>
  <c r="W59"/>
  <c r="W56"/>
  <c r="W53"/>
  <c r="W50"/>
  <c r="W47"/>
  <c r="W44"/>
  <c r="W38"/>
  <c r="W35"/>
  <c r="W29"/>
  <c r="W26"/>
  <c r="W23"/>
  <c r="W20"/>
  <c r="W17"/>
  <c r="W14"/>
  <c r="W8"/>
  <c r="W71" l="1"/>
  <c r="W98"/>
  <c r="W77"/>
  <c r="W78"/>
  <c r="W80" s="1"/>
  <c r="W41"/>
  <c r="W62"/>
  <c r="W89"/>
  <c r="W107"/>
  <c r="W11"/>
  <c r="W30"/>
  <c r="W32" s="1"/>
  <c r="Q56" i="7"/>
  <c r="R56"/>
  <c r="S56" s="1"/>
  <c r="Q57"/>
  <c r="R57"/>
  <c r="Q58"/>
  <c r="R58"/>
  <c r="Q59"/>
  <c r="R59"/>
  <c r="Q60"/>
  <c r="R60"/>
  <c r="Q61"/>
  <c r="R61"/>
  <c r="Q62"/>
  <c r="R62"/>
  <c r="AH119" i="24"/>
  <c r="F119" i="23" s="1"/>
  <c r="AF119" i="24"/>
  <c r="D119" i="23" s="1"/>
  <c r="AE119" i="24"/>
  <c r="C119" i="23" s="1"/>
  <c r="AD119" i="24"/>
  <c r="B119" i="23" s="1"/>
  <c r="AC118" i="24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H117"/>
  <c r="F117" i="23" s="1"/>
  <c r="AF117" i="24"/>
  <c r="D117" i="23" s="1"/>
  <c r="AE117" i="24"/>
  <c r="C117" i="23" s="1"/>
  <c r="AD117" i="24"/>
  <c r="B117" i="23" s="1"/>
  <c r="AH116" i="24"/>
  <c r="F116" i="23" s="1"/>
  <c r="AF116" i="24"/>
  <c r="D116" i="23" s="1"/>
  <c r="AE116" i="24"/>
  <c r="C116" i="23" s="1"/>
  <c r="AD116" i="24"/>
  <c r="B116" i="23" s="1"/>
  <c r="AH115" i="24"/>
  <c r="F115" i="23" s="1"/>
  <c r="AF115" i="24"/>
  <c r="D115" i="23" s="1"/>
  <c r="AE115" i="24"/>
  <c r="C115" i="23" s="1"/>
  <c r="AD115" i="24"/>
  <c r="B115" i="23" s="1"/>
  <c r="AH114" i="24"/>
  <c r="F114" i="23" s="1"/>
  <c r="AF114" i="24"/>
  <c r="D114" i="23" s="1"/>
  <c r="AE114" i="24"/>
  <c r="C114" i="23" s="1"/>
  <c r="AD114" i="24"/>
  <c r="B114" i="23" s="1"/>
  <c r="AH113" i="24"/>
  <c r="F113" i="23" s="1"/>
  <c r="AF113" i="24"/>
  <c r="D113" i="23" s="1"/>
  <c r="AE113" i="24"/>
  <c r="C113" i="23" s="1"/>
  <c r="AD113" i="24"/>
  <c r="B113" i="23" s="1"/>
  <c r="AH112" i="24"/>
  <c r="F112" i="23" s="1"/>
  <c r="AF112" i="24"/>
  <c r="D112" i="23" s="1"/>
  <c r="AE112" i="24"/>
  <c r="C112" i="23" s="1"/>
  <c r="AD112" i="24"/>
  <c r="B112" i="23" s="1"/>
  <c r="AH111" i="24"/>
  <c r="F111" i="23" s="1"/>
  <c r="AF111" i="24"/>
  <c r="D111" i="23" s="1"/>
  <c r="AE111" i="24"/>
  <c r="C111" i="23" s="1"/>
  <c r="AD111" i="24"/>
  <c r="B111" i="23" s="1"/>
  <c r="AH110" i="24"/>
  <c r="F110" i="23" s="1"/>
  <c r="AF110" i="24"/>
  <c r="D110" i="23" s="1"/>
  <c r="AE110" i="24"/>
  <c r="C110" i="23" s="1"/>
  <c r="AD110" i="24"/>
  <c r="B110" i="23" s="1"/>
  <c r="AH109" i="24"/>
  <c r="F109" i="23" s="1"/>
  <c r="AF109" i="24"/>
  <c r="D109" i="23" s="1"/>
  <c r="AE109" i="24"/>
  <c r="C109" i="23" s="1"/>
  <c r="AD109" i="24"/>
  <c r="B109" i="23" s="1"/>
  <c r="AH108" i="24"/>
  <c r="F108" i="23" s="1"/>
  <c r="AF108" i="24"/>
  <c r="D108" i="23" s="1"/>
  <c r="AE108" i="24"/>
  <c r="C108" i="23" s="1"/>
  <c r="AD108" i="24"/>
  <c r="B108" i="23" s="1"/>
  <c r="AH107" i="24"/>
  <c r="F107" i="23" s="1"/>
  <c r="AF107" i="24"/>
  <c r="D107" i="23" s="1"/>
  <c r="AE107" i="24"/>
  <c r="C107" i="23" s="1"/>
  <c r="AD107" i="24"/>
  <c r="B107" i="23" s="1"/>
  <c r="AH106" i="24"/>
  <c r="F106" i="23" s="1"/>
  <c r="AF106" i="24"/>
  <c r="D106" i="23" s="1"/>
  <c r="AE106" i="24"/>
  <c r="C106" i="23" s="1"/>
  <c r="AD106" i="24"/>
  <c r="B106" i="23" s="1"/>
  <c r="AH105" i="24"/>
  <c r="F105" i="23" s="1"/>
  <c r="AF105" i="24"/>
  <c r="D105" i="23" s="1"/>
  <c r="AE105" i="24"/>
  <c r="C105" i="23" s="1"/>
  <c r="AD105" i="24"/>
  <c r="B105" i="23" s="1"/>
  <c r="AH104" i="24"/>
  <c r="F104" i="23" s="1"/>
  <c r="AF104" i="24"/>
  <c r="D104" i="23" s="1"/>
  <c r="AE104" i="24"/>
  <c r="C104" i="23" s="1"/>
  <c r="AD104" i="24"/>
  <c r="B104" i="23" s="1"/>
  <c r="AH103" i="24"/>
  <c r="F103" i="23" s="1"/>
  <c r="AF103" i="24"/>
  <c r="D103" i="23" s="1"/>
  <c r="AE103" i="24"/>
  <c r="C103" i="23" s="1"/>
  <c r="AD103" i="24"/>
  <c r="B103" i="23" s="1"/>
  <c r="AH102" i="24"/>
  <c r="F102" i="23" s="1"/>
  <c r="AF102" i="24"/>
  <c r="D102" i="23" s="1"/>
  <c r="AE102" i="24"/>
  <c r="C102" i="23" s="1"/>
  <c r="AD102" i="24"/>
  <c r="B102" i="23" s="1"/>
  <c r="AH101" i="24"/>
  <c r="F101" i="23" s="1"/>
  <c r="AF101" i="24"/>
  <c r="D101" i="23" s="1"/>
  <c r="AE101" i="24"/>
  <c r="C101" i="23" s="1"/>
  <c r="AD101" i="24"/>
  <c r="B101" i="23" s="1"/>
  <c r="AH100" i="24"/>
  <c r="F100" i="23" s="1"/>
  <c r="AF100" i="24"/>
  <c r="D100" i="23" s="1"/>
  <c r="AE100" i="24"/>
  <c r="C100" i="23" s="1"/>
  <c r="AD100" i="24"/>
  <c r="B100" i="23" s="1"/>
  <c r="AH99" i="24"/>
  <c r="F99" i="23" s="1"/>
  <c r="AF99" i="24"/>
  <c r="D99" i="23" s="1"/>
  <c r="AE99" i="24"/>
  <c r="C99" i="23" s="1"/>
  <c r="AD99" i="24"/>
  <c r="B99" i="23" s="1"/>
  <c r="AH98" i="24"/>
  <c r="F98" i="23" s="1"/>
  <c r="AF98" i="24"/>
  <c r="D98" i="23" s="1"/>
  <c r="AE98" i="24"/>
  <c r="C98" i="23" s="1"/>
  <c r="AD98" i="24"/>
  <c r="B98" i="23" s="1"/>
  <c r="AH97" i="24"/>
  <c r="F97" i="23" s="1"/>
  <c r="AF97" i="24"/>
  <c r="D97" i="23" s="1"/>
  <c r="AE97" i="24"/>
  <c r="C97" i="23" s="1"/>
  <c r="AD97" i="24"/>
  <c r="B97" i="23" s="1"/>
  <c r="AH96" i="24"/>
  <c r="F96" i="23" s="1"/>
  <c r="AF96" i="24"/>
  <c r="D96" i="23" s="1"/>
  <c r="AE96" i="24"/>
  <c r="C96" i="23" s="1"/>
  <c r="AD96" i="24"/>
  <c r="B96" i="23" s="1"/>
  <c r="AH95" i="24"/>
  <c r="F95" i="23" s="1"/>
  <c r="AF95" i="24"/>
  <c r="D95" i="23" s="1"/>
  <c r="AE95" i="24"/>
  <c r="C95" i="23" s="1"/>
  <c r="AD95" i="24"/>
  <c r="B95" i="23" s="1"/>
  <c r="AH94" i="24"/>
  <c r="F94" i="23" s="1"/>
  <c r="AF94" i="24"/>
  <c r="D94" i="23" s="1"/>
  <c r="AE94" i="24"/>
  <c r="C94" i="23" s="1"/>
  <c r="AD94" i="24"/>
  <c r="B94" i="23" s="1"/>
  <c r="AH93" i="24"/>
  <c r="F93" i="23" s="1"/>
  <c r="AF93" i="24"/>
  <c r="D93" i="23" s="1"/>
  <c r="AE93" i="24"/>
  <c r="C93" i="23" s="1"/>
  <c r="AD93" i="24"/>
  <c r="B93" i="23" s="1"/>
  <c r="AH92" i="24"/>
  <c r="F92" i="23" s="1"/>
  <c r="AF92" i="24"/>
  <c r="D92" i="23" s="1"/>
  <c r="AE92" i="24"/>
  <c r="C92" i="23" s="1"/>
  <c r="AD92" i="24"/>
  <c r="B92" i="23" s="1"/>
  <c r="AH91" i="24"/>
  <c r="F91" i="23" s="1"/>
  <c r="AF91" i="24"/>
  <c r="D91" i="23" s="1"/>
  <c r="AE91" i="24"/>
  <c r="C91" i="23" s="1"/>
  <c r="AD91" i="24"/>
  <c r="B91" i="23" s="1"/>
  <c r="AH90" i="24"/>
  <c r="F90" i="23" s="1"/>
  <c r="AF90" i="24"/>
  <c r="D90" i="23" s="1"/>
  <c r="AE90" i="24"/>
  <c r="C90" i="23" s="1"/>
  <c r="AD90" i="24"/>
  <c r="B90" i="23" s="1"/>
  <c r="AH89" i="24"/>
  <c r="F89" i="23" s="1"/>
  <c r="AF89" i="24"/>
  <c r="D89" i="23" s="1"/>
  <c r="AE89" i="24"/>
  <c r="C89" i="23" s="1"/>
  <c r="AD89" i="24"/>
  <c r="B89" i="23" s="1"/>
  <c r="AH88" i="24"/>
  <c r="AF88"/>
  <c r="AE88"/>
  <c r="C88" i="23" s="1"/>
  <c r="AD88" i="24"/>
  <c r="AH119" i="22"/>
  <c r="F119" i="20" s="1"/>
  <c r="AF119" i="22"/>
  <c r="D119" i="20" s="1"/>
  <c r="AE119" i="22"/>
  <c r="C119" i="20" s="1"/>
  <c r="AD119" i="22"/>
  <c r="B119" i="20" s="1"/>
  <c r="AC118" i="22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H117"/>
  <c r="F117" i="20" s="1"/>
  <c r="AF117" i="22"/>
  <c r="D117" i="20" s="1"/>
  <c r="AE117" i="22"/>
  <c r="C117" i="20" s="1"/>
  <c r="AD117" i="22"/>
  <c r="B117" i="20" s="1"/>
  <c r="AH116" i="22"/>
  <c r="F116" i="20" s="1"/>
  <c r="AF116" i="22"/>
  <c r="D116" i="20" s="1"/>
  <c r="AE116" i="22"/>
  <c r="C116" i="20" s="1"/>
  <c r="AD116" i="22"/>
  <c r="B116" i="20" s="1"/>
  <c r="AH115" i="22"/>
  <c r="F115" i="20" s="1"/>
  <c r="AF115" i="22"/>
  <c r="D115" i="20" s="1"/>
  <c r="AE115" i="22"/>
  <c r="C115" i="20" s="1"/>
  <c r="AD115" i="22"/>
  <c r="B115" i="20" s="1"/>
  <c r="AH114" i="22"/>
  <c r="F114" i="20" s="1"/>
  <c r="AF114" i="22"/>
  <c r="D114" i="20" s="1"/>
  <c r="AE114" i="22"/>
  <c r="C114" i="20" s="1"/>
  <c r="AD114" i="22"/>
  <c r="B114" i="20" s="1"/>
  <c r="AH113" i="22"/>
  <c r="F113" i="20" s="1"/>
  <c r="AF113" i="22"/>
  <c r="D113" i="20" s="1"/>
  <c r="AE113" i="22"/>
  <c r="C113" i="20" s="1"/>
  <c r="AD113" i="22"/>
  <c r="B113" i="20" s="1"/>
  <c r="AH112" i="22"/>
  <c r="F112" i="20" s="1"/>
  <c r="AF112" i="22"/>
  <c r="D112" i="20" s="1"/>
  <c r="AE112" i="22"/>
  <c r="C112" i="20" s="1"/>
  <c r="AD112" i="22"/>
  <c r="B112" i="20" s="1"/>
  <c r="AH111" i="22"/>
  <c r="F111" i="20" s="1"/>
  <c r="AF111" i="22"/>
  <c r="D111" i="20" s="1"/>
  <c r="AE111" i="22"/>
  <c r="C111" i="20" s="1"/>
  <c r="AD111" i="22"/>
  <c r="B111" i="20" s="1"/>
  <c r="AH110" i="22"/>
  <c r="F110" i="20" s="1"/>
  <c r="AF110" i="22"/>
  <c r="D110" i="20" s="1"/>
  <c r="AE110" i="22"/>
  <c r="C110" i="20" s="1"/>
  <c r="AD110" i="22"/>
  <c r="B110" i="20" s="1"/>
  <c r="AH109" i="22"/>
  <c r="F109" i="20" s="1"/>
  <c r="AF109" i="22"/>
  <c r="D109" i="20" s="1"/>
  <c r="AE109" i="22"/>
  <c r="C109" i="20" s="1"/>
  <c r="AD109" i="22"/>
  <c r="B109" i="20" s="1"/>
  <c r="AH108" i="22"/>
  <c r="F108" i="20" s="1"/>
  <c r="AF108" i="22"/>
  <c r="D108" i="20" s="1"/>
  <c r="AE108" i="22"/>
  <c r="C108" i="20" s="1"/>
  <c r="AD108" i="22"/>
  <c r="B108" i="20" s="1"/>
  <c r="AH107" i="22"/>
  <c r="F107" i="20" s="1"/>
  <c r="AF107" i="22"/>
  <c r="D107" i="20" s="1"/>
  <c r="AE107" i="22"/>
  <c r="C107" i="20" s="1"/>
  <c r="AD107" i="22"/>
  <c r="B107" i="20" s="1"/>
  <c r="AH106" i="22"/>
  <c r="F106" i="20" s="1"/>
  <c r="AF106" i="22"/>
  <c r="D106" i="20" s="1"/>
  <c r="AE106" i="22"/>
  <c r="C106" i="20" s="1"/>
  <c r="AD106" i="22"/>
  <c r="B106" i="20" s="1"/>
  <c r="AH105" i="22"/>
  <c r="F105" i="20" s="1"/>
  <c r="AF105" i="22"/>
  <c r="D105" i="20" s="1"/>
  <c r="AE105" i="22"/>
  <c r="C105" i="20" s="1"/>
  <c r="AD105" i="22"/>
  <c r="B105" i="20" s="1"/>
  <c r="AH104" i="22"/>
  <c r="F104" i="20" s="1"/>
  <c r="AF104" i="22"/>
  <c r="D104" i="20" s="1"/>
  <c r="AE104" i="22"/>
  <c r="C104" i="20" s="1"/>
  <c r="AD104" i="22"/>
  <c r="B104" i="20" s="1"/>
  <c r="AH103" i="22"/>
  <c r="F103" i="20" s="1"/>
  <c r="AF103" i="22"/>
  <c r="D103" i="20" s="1"/>
  <c r="AE103" i="22"/>
  <c r="C103" i="20" s="1"/>
  <c r="AD103" i="22"/>
  <c r="B103" i="20" s="1"/>
  <c r="AH102" i="22"/>
  <c r="F102" i="20" s="1"/>
  <c r="AF102" i="22"/>
  <c r="D102" i="20" s="1"/>
  <c r="AE102" i="22"/>
  <c r="C102" i="20" s="1"/>
  <c r="AD102" i="22"/>
  <c r="B102" i="20" s="1"/>
  <c r="AH101" i="22"/>
  <c r="F101" i="20" s="1"/>
  <c r="AF101" i="22"/>
  <c r="D101" i="20" s="1"/>
  <c r="AE101" i="22"/>
  <c r="C101" i="20" s="1"/>
  <c r="AD101" i="22"/>
  <c r="B101" i="20" s="1"/>
  <c r="AH100" i="22"/>
  <c r="F100" i="20" s="1"/>
  <c r="AF100" i="22"/>
  <c r="D100" i="20" s="1"/>
  <c r="AE100" i="22"/>
  <c r="C100" i="20" s="1"/>
  <c r="AD100" i="22"/>
  <c r="B100" i="20" s="1"/>
  <c r="AH99" i="22"/>
  <c r="F99" i="20" s="1"/>
  <c r="AF99" i="22"/>
  <c r="D99" i="20" s="1"/>
  <c r="AE99" i="22"/>
  <c r="C99" i="20" s="1"/>
  <c r="AD99" i="22"/>
  <c r="B99" i="20" s="1"/>
  <c r="AH98" i="22"/>
  <c r="F98" i="20" s="1"/>
  <c r="AF98" i="22"/>
  <c r="D98" i="20" s="1"/>
  <c r="AE98" i="22"/>
  <c r="C98" i="20" s="1"/>
  <c r="AD98" i="22"/>
  <c r="B98" i="20" s="1"/>
  <c r="AH97" i="22"/>
  <c r="F97" i="20" s="1"/>
  <c r="AF97" i="22"/>
  <c r="D97" i="20" s="1"/>
  <c r="AE97" i="22"/>
  <c r="C97" i="20" s="1"/>
  <c r="AD97" i="22"/>
  <c r="B97" i="20" s="1"/>
  <c r="AH96" i="22"/>
  <c r="F96" i="20" s="1"/>
  <c r="AF96" i="22"/>
  <c r="D96" i="20" s="1"/>
  <c r="AE96" i="22"/>
  <c r="C96" i="20" s="1"/>
  <c r="AD96" i="22"/>
  <c r="B96" i="20" s="1"/>
  <c r="AH95" i="22"/>
  <c r="F95" i="20" s="1"/>
  <c r="AF95" i="22"/>
  <c r="D95" i="20" s="1"/>
  <c r="AE95" i="22"/>
  <c r="C95" i="20" s="1"/>
  <c r="AD95" i="22"/>
  <c r="B95" i="20" s="1"/>
  <c r="AH94" i="22"/>
  <c r="F94" i="20" s="1"/>
  <c r="AF94" i="22"/>
  <c r="D94" i="20" s="1"/>
  <c r="AE94" i="22"/>
  <c r="C94" i="20" s="1"/>
  <c r="AD94" i="22"/>
  <c r="B94" i="20" s="1"/>
  <c r="AH93" i="22"/>
  <c r="F93" i="20" s="1"/>
  <c r="AF93" i="22"/>
  <c r="D93" i="20" s="1"/>
  <c r="AE93" i="22"/>
  <c r="C93" i="20" s="1"/>
  <c r="AD93" i="22"/>
  <c r="B93" i="20" s="1"/>
  <c r="AH92" i="22"/>
  <c r="F92" i="20" s="1"/>
  <c r="AF92" i="22"/>
  <c r="D92" i="20" s="1"/>
  <c r="AE92" i="22"/>
  <c r="C92" i="20" s="1"/>
  <c r="AD92" i="22"/>
  <c r="B92" i="20" s="1"/>
  <c r="AH91" i="22"/>
  <c r="F91" i="20" s="1"/>
  <c r="AF91" i="22"/>
  <c r="D91" i="20" s="1"/>
  <c r="AE91" i="22"/>
  <c r="C91" i="20" s="1"/>
  <c r="AD91" i="22"/>
  <c r="B91" i="20" s="1"/>
  <c r="AH90" i="22"/>
  <c r="F90" i="20" s="1"/>
  <c r="AF90" i="22"/>
  <c r="D90" i="20" s="1"/>
  <c r="AE90" i="22"/>
  <c r="C90" i="20" s="1"/>
  <c r="AD90" i="22"/>
  <c r="B90" i="20" s="1"/>
  <c r="AH89" i="22"/>
  <c r="F89" i="20" s="1"/>
  <c r="AF89" i="22"/>
  <c r="D89" i="20" s="1"/>
  <c r="AE89" i="22"/>
  <c r="C89" i="20" s="1"/>
  <c r="AD89" i="22"/>
  <c r="B89" i="20" s="1"/>
  <c r="AH88" i="22"/>
  <c r="AF88"/>
  <c r="AE88"/>
  <c r="C88" i="20" s="1"/>
  <c r="C118" s="1"/>
  <c r="AD88" i="22"/>
  <c r="AP13" i="12"/>
  <c r="AP12"/>
  <c r="AN13"/>
  <c r="AN12"/>
  <c r="AP21"/>
  <c r="AP20"/>
  <c r="AN21"/>
  <c r="AN20"/>
  <c r="AP29"/>
  <c r="AP28"/>
  <c r="AN29"/>
  <c r="AN28"/>
  <c r="AP37"/>
  <c r="AP36"/>
  <c r="AN37"/>
  <c r="AN36"/>
  <c r="AP45"/>
  <c r="AP44"/>
  <c r="AN45"/>
  <c r="AN44"/>
  <c r="AP53"/>
  <c r="AP61" s="1"/>
  <c r="AP52"/>
  <c r="AN53"/>
  <c r="AN52"/>
  <c r="AP59"/>
  <c r="AP58"/>
  <c r="AP57"/>
  <c r="AP56"/>
  <c r="AN59"/>
  <c r="AN58"/>
  <c r="AN57"/>
  <c r="AN56"/>
  <c r="V40" i="2"/>
  <c r="V39"/>
  <c r="V40" i="1"/>
  <c r="V39"/>
  <c r="V10" i="2"/>
  <c r="V9"/>
  <c r="V10" i="1"/>
  <c r="V9"/>
  <c r="P261" i="7"/>
  <c r="K261"/>
  <c r="L261"/>
  <c r="K262"/>
  <c r="L262"/>
  <c r="K263"/>
  <c r="L263"/>
  <c r="M263" s="1"/>
  <c r="K264"/>
  <c r="L264"/>
  <c r="P236"/>
  <c r="K236"/>
  <c r="L236"/>
  <c r="M236" s="1"/>
  <c r="K237"/>
  <c r="L237"/>
  <c r="M237" s="1"/>
  <c r="K238"/>
  <c r="M238" s="1"/>
  <c r="L238"/>
  <c r="K239"/>
  <c r="L239"/>
  <c r="M239" s="1"/>
  <c r="K240"/>
  <c r="L240"/>
  <c r="M240" s="1"/>
  <c r="K241"/>
  <c r="L241"/>
  <c r="M241" s="1"/>
  <c r="K242"/>
  <c r="L242"/>
  <c r="M242"/>
  <c r="K243"/>
  <c r="L243"/>
  <c r="M243" s="1"/>
  <c r="K244"/>
  <c r="L244"/>
  <c r="M244" s="1"/>
  <c r="K245"/>
  <c r="L245"/>
  <c r="M245" s="1"/>
  <c r="K246"/>
  <c r="M246" s="1"/>
  <c r="L246"/>
  <c r="K247"/>
  <c r="L247"/>
  <c r="M247" s="1"/>
  <c r="K248"/>
  <c r="L248"/>
  <c r="K249"/>
  <c r="L249"/>
  <c r="M249" s="1"/>
  <c r="K250"/>
  <c r="L250"/>
  <c r="M250"/>
  <c r="K251"/>
  <c r="L251"/>
  <c r="M251" s="1"/>
  <c r="N220"/>
  <c r="O220"/>
  <c r="L217"/>
  <c r="K217"/>
  <c r="P217"/>
  <c r="P215"/>
  <c r="P202"/>
  <c r="P200"/>
  <c r="K194"/>
  <c r="L194"/>
  <c r="K195"/>
  <c r="L195"/>
  <c r="M195"/>
  <c r="K196"/>
  <c r="L196"/>
  <c r="K197"/>
  <c r="L197"/>
  <c r="M197" s="1"/>
  <c r="K198"/>
  <c r="L198"/>
  <c r="M198" s="1"/>
  <c r="K199"/>
  <c r="L199"/>
  <c r="M199" s="1"/>
  <c r="K200"/>
  <c r="L200"/>
  <c r="K201"/>
  <c r="L201"/>
  <c r="P150"/>
  <c r="P151"/>
  <c r="P152"/>
  <c r="P153"/>
  <c r="P154"/>
  <c r="K150"/>
  <c r="L150"/>
  <c r="K151"/>
  <c r="L151"/>
  <c r="K152"/>
  <c r="M152" s="1"/>
  <c r="L152"/>
  <c r="K153"/>
  <c r="L153"/>
  <c r="M153" s="1"/>
  <c r="K154"/>
  <c r="L154"/>
  <c r="M154" s="1"/>
  <c r="P127"/>
  <c r="P103"/>
  <c r="P104"/>
  <c r="P106"/>
  <c r="P107"/>
  <c r="P108"/>
  <c r="P109"/>
  <c r="P110"/>
  <c r="K103"/>
  <c r="L103"/>
  <c r="K104"/>
  <c r="M104" s="1"/>
  <c r="L104"/>
  <c r="K105"/>
  <c r="L105"/>
  <c r="K106"/>
  <c r="L106"/>
  <c r="M106" s="1"/>
  <c r="K107"/>
  <c r="L107"/>
  <c r="K108"/>
  <c r="L108"/>
  <c r="M108" s="1"/>
  <c r="K109"/>
  <c r="L109"/>
  <c r="K110"/>
  <c r="L110"/>
  <c r="K111"/>
  <c r="L111"/>
  <c r="P67"/>
  <c r="P62"/>
  <c r="P60"/>
  <c r="L56"/>
  <c r="K56"/>
  <c r="P23"/>
  <c r="P24"/>
  <c r="P26"/>
  <c r="P27"/>
  <c r="Q71" i="8"/>
  <c r="Q72"/>
  <c r="Q73"/>
  <c r="Q74"/>
  <c r="Q75"/>
  <c r="Q76"/>
  <c r="Q78"/>
  <c r="Q80"/>
  <c r="Q81"/>
  <c r="Q87"/>
  <c r="Q89"/>
  <c r="Q49"/>
  <c r="Q51"/>
  <c r="Q54"/>
  <c r="Q56"/>
  <c r="Q23"/>
  <c r="Q18"/>
  <c r="Q13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P35" i="9"/>
  <c r="P37"/>
  <c r="P41"/>
  <c r="P42"/>
  <c r="P4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M43" s="1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K8"/>
  <c r="L8"/>
  <c r="M8" s="1"/>
  <c r="K9"/>
  <c r="M9" s="1"/>
  <c r="L9"/>
  <c r="K10"/>
  <c r="L10"/>
  <c r="M10" s="1"/>
  <c r="K11"/>
  <c r="L11"/>
  <c r="M11" s="1"/>
  <c r="K12"/>
  <c r="L12"/>
  <c r="K13"/>
  <c r="L13"/>
  <c r="M13" s="1"/>
  <c r="K14"/>
  <c r="L14"/>
  <c r="M14"/>
  <c r="K15"/>
  <c r="L15"/>
  <c r="M15" s="1"/>
  <c r="K16"/>
  <c r="L16"/>
  <c r="M16" s="1"/>
  <c r="K17"/>
  <c r="L17"/>
  <c r="M17" s="1"/>
  <c r="K18"/>
  <c r="M18" s="1"/>
  <c r="L18"/>
  <c r="K19"/>
  <c r="L19"/>
  <c r="M19" s="1"/>
  <c r="K20"/>
  <c r="L20"/>
  <c r="M20" s="1"/>
  <c r="K21"/>
  <c r="L21"/>
  <c r="M21" s="1"/>
  <c r="K22"/>
  <c r="L22"/>
  <c r="M22"/>
  <c r="K23"/>
  <c r="L23"/>
  <c r="M23" s="1"/>
  <c r="K24"/>
  <c r="L24"/>
  <c r="M24" s="1"/>
  <c r="K25"/>
  <c r="L25"/>
  <c r="M25" s="1"/>
  <c r="K26"/>
  <c r="L26"/>
  <c r="K27"/>
  <c r="L27"/>
  <c r="K28"/>
  <c r="L28"/>
  <c r="K29"/>
  <c r="L29"/>
  <c r="Q331" i="10"/>
  <c r="Q332"/>
  <c r="Q333"/>
  <c r="Q335"/>
  <c r="Q336"/>
  <c r="Q337"/>
  <c r="L339"/>
  <c r="M339"/>
  <c r="L340"/>
  <c r="M340"/>
  <c r="Q315"/>
  <c r="Q317"/>
  <c r="Q319"/>
  <c r="L315"/>
  <c r="M315"/>
  <c r="L316"/>
  <c r="M316"/>
  <c r="L317"/>
  <c r="M317"/>
  <c r="L318"/>
  <c r="M318"/>
  <c r="L319"/>
  <c r="M319"/>
  <c r="N319" s="1"/>
  <c r="L320"/>
  <c r="M320"/>
  <c r="M296"/>
  <c r="L296"/>
  <c r="M293"/>
  <c r="L293"/>
  <c r="Q292"/>
  <c r="Q293"/>
  <c r="Q294"/>
  <c r="Q295"/>
  <c r="Q296"/>
  <c r="Q297"/>
  <c r="Q299"/>
  <c r="Q266"/>
  <c r="Q267"/>
  <c r="Q268"/>
  <c r="Q269"/>
  <c r="Q270"/>
  <c r="Q271"/>
  <c r="Q272"/>
  <c r="Q273"/>
  <c r="Q274"/>
  <c r="Q276"/>
  <c r="Q277"/>
  <c r="Q278"/>
  <c r="Q279"/>
  <c r="L267"/>
  <c r="M267"/>
  <c r="N267" s="1"/>
  <c r="L268"/>
  <c r="M268"/>
  <c r="N268" s="1"/>
  <c r="L269"/>
  <c r="M269"/>
  <c r="L270"/>
  <c r="M270"/>
  <c r="L271"/>
  <c r="M271"/>
  <c r="N271" s="1"/>
  <c r="L272"/>
  <c r="M272"/>
  <c r="L273"/>
  <c r="M273"/>
  <c r="L274"/>
  <c r="M274"/>
  <c r="L275"/>
  <c r="M275"/>
  <c r="L276"/>
  <c r="M276"/>
  <c r="N276" s="1"/>
  <c r="L277"/>
  <c r="M277"/>
  <c r="L278"/>
  <c r="M278"/>
  <c r="L279"/>
  <c r="M279"/>
  <c r="Q244"/>
  <c r="Q241"/>
  <c r="L240"/>
  <c r="M240"/>
  <c r="L241"/>
  <c r="M241"/>
  <c r="L242"/>
  <c r="M242"/>
  <c r="N242"/>
  <c r="L243"/>
  <c r="M243"/>
  <c r="L244"/>
  <c r="M244"/>
  <c r="L245"/>
  <c r="M245"/>
  <c r="L246"/>
  <c r="M246"/>
  <c r="Q215"/>
  <c r="Q216"/>
  <c r="Q218"/>
  <c r="Q219"/>
  <c r="Q220"/>
  <c r="Q221"/>
  <c r="Q222"/>
  <c r="Q224"/>
  <c r="L215"/>
  <c r="M215"/>
  <c r="N215" s="1"/>
  <c r="L216"/>
  <c r="M216"/>
  <c r="L217"/>
  <c r="M217"/>
  <c r="L218"/>
  <c r="M218"/>
  <c r="L219"/>
  <c r="M219"/>
  <c r="L220"/>
  <c r="M220"/>
  <c r="L221"/>
  <c r="M221"/>
  <c r="L222"/>
  <c r="M222"/>
  <c r="N222" s="1"/>
  <c r="L223"/>
  <c r="M223"/>
  <c r="L224"/>
  <c r="M224"/>
  <c r="N224" s="1"/>
  <c r="Q201"/>
  <c r="L200"/>
  <c r="M200"/>
  <c r="L201"/>
  <c r="M201"/>
  <c r="Q166"/>
  <c r="Q167"/>
  <c r="Q168"/>
  <c r="Q169"/>
  <c r="Q170"/>
  <c r="Q171"/>
  <c r="Q172"/>
  <c r="Q173"/>
  <c r="Q176"/>
  <c r="L166"/>
  <c r="M166"/>
  <c r="N166" s="1"/>
  <c r="L167"/>
  <c r="M167"/>
  <c r="N167" s="1"/>
  <c r="L168"/>
  <c r="M168"/>
  <c r="N168" s="1"/>
  <c r="L169"/>
  <c r="M169"/>
  <c r="N169" s="1"/>
  <c r="L170"/>
  <c r="M170"/>
  <c r="L171"/>
  <c r="M171"/>
  <c r="N171" s="1"/>
  <c r="L172"/>
  <c r="M172"/>
  <c r="N172" s="1"/>
  <c r="L173"/>
  <c r="M173"/>
  <c r="L174"/>
  <c r="M174"/>
  <c r="L175"/>
  <c r="M175"/>
  <c r="L176"/>
  <c r="M176"/>
  <c r="N176" s="1"/>
  <c r="L177"/>
  <c r="M177"/>
  <c r="Q134"/>
  <c r="Q135"/>
  <c r="Q136"/>
  <c r="Q138"/>
  <c r="Q139"/>
  <c r="Q140"/>
  <c r="Q141"/>
  <c r="Q142"/>
  <c r="Q143"/>
  <c r="L143"/>
  <c r="M143"/>
  <c r="L144"/>
  <c r="M144"/>
  <c r="L145"/>
  <c r="M145"/>
  <c r="L146"/>
  <c r="M146"/>
  <c r="L147"/>
  <c r="M147"/>
  <c r="L149"/>
  <c r="M149"/>
  <c r="L150"/>
  <c r="M150"/>
  <c r="Q118"/>
  <c r="Q119"/>
  <c r="Q120"/>
  <c r="Q121"/>
  <c r="Q122"/>
  <c r="Q124"/>
  <c r="Q127"/>
  <c r="L123"/>
  <c r="M123"/>
  <c r="L124"/>
  <c r="M124"/>
  <c r="L125"/>
  <c r="M125"/>
  <c r="L126"/>
  <c r="M126"/>
  <c r="L127"/>
  <c r="M127"/>
  <c r="M100"/>
  <c r="L100"/>
  <c r="Q93"/>
  <c r="Q73"/>
  <c r="Q74"/>
  <c r="Q75"/>
  <c r="Q76"/>
  <c r="Q77"/>
  <c r="Q78"/>
  <c r="Q80"/>
  <c r="Q83"/>
  <c r="L79"/>
  <c r="M79"/>
  <c r="Q50"/>
  <c r="Q52"/>
  <c r="Q54"/>
  <c r="Q55"/>
  <c r="L55"/>
  <c r="M55"/>
  <c r="N55" s="1"/>
  <c r="L56"/>
  <c r="M56"/>
  <c r="L57"/>
  <c r="M57"/>
  <c r="Q35"/>
  <c r="Q36"/>
  <c r="Q37"/>
  <c r="Q38"/>
  <c r="Q39"/>
  <c r="Q40"/>
  <c r="Q41"/>
  <c r="M42"/>
  <c r="L42"/>
  <c r="Q22"/>
  <c r="Q20"/>
  <c r="Q7"/>
  <c r="S344"/>
  <c r="R344"/>
  <c r="S329"/>
  <c r="R329"/>
  <c r="S328"/>
  <c r="R328"/>
  <c r="S327"/>
  <c r="R327"/>
  <c r="S326"/>
  <c r="R326"/>
  <c r="S312"/>
  <c r="R312"/>
  <c r="S311"/>
  <c r="R311"/>
  <c r="S310"/>
  <c r="R310"/>
  <c r="S309"/>
  <c r="R309"/>
  <c r="S302"/>
  <c r="R302"/>
  <c r="S286"/>
  <c r="R286"/>
  <c r="S285"/>
  <c r="R285"/>
  <c r="S284"/>
  <c r="R284"/>
  <c r="S283"/>
  <c r="R283"/>
  <c r="R301" s="1"/>
  <c r="S282"/>
  <c r="S303" s="1"/>
  <c r="R282"/>
  <c r="S266"/>
  <c r="R266"/>
  <c r="S265"/>
  <c r="R265"/>
  <c r="S264"/>
  <c r="R264"/>
  <c r="S263"/>
  <c r="R263"/>
  <c r="S262"/>
  <c r="R262"/>
  <c r="S261"/>
  <c r="R261"/>
  <c r="S260"/>
  <c r="R260"/>
  <c r="S259"/>
  <c r="R259"/>
  <c r="S250"/>
  <c r="R250"/>
  <c r="S248"/>
  <c r="R248"/>
  <c r="S233"/>
  <c r="R233"/>
  <c r="S232"/>
  <c r="R232"/>
  <c r="S231"/>
  <c r="R231"/>
  <c r="S230"/>
  <c r="R230"/>
  <c r="S229"/>
  <c r="R229"/>
  <c r="S228"/>
  <c r="R228"/>
  <c r="S227"/>
  <c r="S251" s="1"/>
  <c r="R227"/>
  <c r="S214"/>
  <c r="R214"/>
  <c r="S213"/>
  <c r="R213"/>
  <c r="S212"/>
  <c r="S226" s="1"/>
  <c r="R212"/>
  <c r="S205"/>
  <c r="R205"/>
  <c r="S203"/>
  <c r="R203"/>
  <c r="S197"/>
  <c r="R197"/>
  <c r="S196"/>
  <c r="R196"/>
  <c r="S195"/>
  <c r="R195"/>
  <c r="S194"/>
  <c r="R194"/>
  <c r="S193"/>
  <c r="R193"/>
  <c r="S192"/>
  <c r="R192"/>
  <c r="S191"/>
  <c r="R191"/>
  <c r="S190"/>
  <c r="R190"/>
  <c r="S189"/>
  <c r="R189"/>
  <c r="S188"/>
  <c r="R188"/>
  <c r="S187"/>
  <c r="R187"/>
  <c r="S186"/>
  <c r="R186"/>
  <c r="S185"/>
  <c r="R185"/>
  <c r="S184"/>
  <c r="R184"/>
  <c r="S183"/>
  <c r="R183"/>
  <c r="S182"/>
  <c r="R182"/>
  <c r="S181"/>
  <c r="R181"/>
  <c r="S180"/>
  <c r="S206" s="1"/>
  <c r="R180"/>
  <c r="S178"/>
  <c r="R178"/>
  <c r="S177"/>
  <c r="R177"/>
  <c r="S165"/>
  <c r="R165"/>
  <c r="S164"/>
  <c r="R164"/>
  <c r="S163"/>
  <c r="R163"/>
  <c r="S162"/>
  <c r="R162"/>
  <c r="S153"/>
  <c r="R153"/>
  <c r="S133"/>
  <c r="R133"/>
  <c r="S132"/>
  <c r="R132"/>
  <c r="S131"/>
  <c r="R131"/>
  <c r="S130"/>
  <c r="R130"/>
  <c r="S114"/>
  <c r="R114"/>
  <c r="S113"/>
  <c r="R113"/>
  <c r="S112"/>
  <c r="R112"/>
  <c r="S111"/>
  <c r="R111"/>
  <c r="S105"/>
  <c r="R105"/>
  <c r="S94"/>
  <c r="R94"/>
  <c r="S93"/>
  <c r="R93"/>
  <c r="S92"/>
  <c r="R92"/>
  <c r="S91"/>
  <c r="R91"/>
  <c r="S90"/>
  <c r="R90"/>
  <c r="S88"/>
  <c r="R88"/>
  <c r="S71"/>
  <c r="R71"/>
  <c r="S70"/>
  <c r="R70"/>
  <c r="S69"/>
  <c r="R69"/>
  <c r="S68"/>
  <c r="R68"/>
  <c r="S67"/>
  <c r="R67"/>
  <c r="S66"/>
  <c r="R66"/>
  <c r="S59"/>
  <c r="R59"/>
  <c r="S50"/>
  <c r="R50"/>
  <c r="S49"/>
  <c r="R49"/>
  <c r="S48"/>
  <c r="R48"/>
  <c r="S47"/>
  <c r="R47"/>
  <c r="S31"/>
  <c r="R31"/>
  <c r="S30"/>
  <c r="R30"/>
  <c r="S29"/>
  <c r="R29"/>
  <c r="R46" s="1"/>
  <c r="S28"/>
  <c r="R28"/>
  <c r="S26"/>
  <c r="R26"/>
  <c r="S25"/>
  <c r="R25"/>
  <c r="S14"/>
  <c r="R14"/>
  <c r="S13"/>
  <c r="R13"/>
  <c r="S12"/>
  <c r="R12"/>
  <c r="S10"/>
  <c r="R10"/>
  <c r="S9"/>
  <c r="R9"/>
  <c r="S8"/>
  <c r="R8"/>
  <c r="S7"/>
  <c r="R7"/>
  <c r="S6"/>
  <c r="R6"/>
  <c r="S5"/>
  <c r="R5"/>
  <c r="M344"/>
  <c r="M342"/>
  <c r="M341"/>
  <c r="M338"/>
  <c r="M337"/>
  <c r="M336"/>
  <c r="M335"/>
  <c r="M334"/>
  <c r="M333"/>
  <c r="M332"/>
  <c r="M331"/>
  <c r="M330"/>
  <c r="M329"/>
  <c r="M328"/>
  <c r="M327"/>
  <c r="M326"/>
  <c r="M345" s="1"/>
  <c r="M324"/>
  <c r="M323"/>
  <c r="M322"/>
  <c r="M321"/>
  <c r="M314"/>
  <c r="M313"/>
  <c r="M312"/>
  <c r="M311"/>
  <c r="M310"/>
  <c r="M309"/>
  <c r="M302"/>
  <c r="M300"/>
  <c r="M299"/>
  <c r="M298"/>
  <c r="M297"/>
  <c r="M295"/>
  <c r="M294"/>
  <c r="M292"/>
  <c r="M291"/>
  <c r="M290"/>
  <c r="M289"/>
  <c r="M288"/>
  <c r="M287"/>
  <c r="M286"/>
  <c r="M285"/>
  <c r="M284"/>
  <c r="M283"/>
  <c r="M282"/>
  <c r="M303" s="1"/>
  <c r="M280"/>
  <c r="M266"/>
  <c r="M265"/>
  <c r="M264"/>
  <c r="M263"/>
  <c r="M262"/>
  <c r="M261"/>
  <c r="M260"/>
  <c r="M259"/>
  <c r="M250"/>
  <c r="M248"/>
  <c r="M239"/>
  <c r="M238"/>
  <c r="M237"/>
  <c r="M236"/>
  <c r="M235"/>
  <c r="M234"/>
  <c r="M233"/>
  <c r="M232"/>
  <c r="M231"/>
  <c r="M230"/>
  <c r="M229"/>
  <c r="M228"/>
  <c r="M227"/>
  <c r="M251" s="1"/>
  <c r="M225"/>
  <c r="M214"/>
  <c r="M213"/>
  <c r="M212"/>
  <c r="M205"/>
  <c r="M203"/>
  <c r="M202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8"/>
  <c r="M165"/>
  <c r="M164"/>
  <c r="M163"/>
  <c r="M162"/>
  <c r="M153"/>
  <c r="M151"/>
  <c r="M142"/>
  <c r="M141"/>
  <c r="M140"/>
  <c r="M139"/>
  <c r="M138"/>
  <c r="M136"/>
  <c r="M135"/>
  <c r="M134"/>
  <c r="M133"/>
  <c r="M132"/>
  <c r="M131"/>
  <c r="M130"/>
  <c r="M128"/>
  <c r="M122"/>
  <c r="M121"/>
  <c r="M120"/>
  <c r="M119"/>
  <c r="M118"/>
  <c r="M117"/>
  <c r="M116"/>
  <c r="M115"/>
  <c r="M114"/>
  <c r="M113"/>
  <c r="M112"/>
  <c r="M111"/>
  <c r="M105"/>
  <c r="M103"/>
  <c r="M102"/>
  <c r="M101"/>
  <c r="M99"/>
  <c r="M98"/>
  <c r="M97"/>
  <c r="M96"/>
  <c r="M95"/>
  <c r="M94"/>
  <c r="M93"/>
  <c r="M92"/>
  <c r="M91"/>
  <c r="M90"/>
  <c r="M88"/>
  <c r="M87"/>
  <c r="M86"/>
  <c r="M85"/>
  <c r="M84"/>
  <c r="M83"/>
  <c r="M82"/>
  <c r="M81"/>
  <c r="M80"/>
  <c r="M78"/>
  <c r="M77"/>
  <c r="M76"/>
  <c r="M75"/>
  <c r="M74"/>
  <c r="M73"/>
  <c r="M72"/>
  <c r="M71"/>
  <c r="M70"/>
  <c r="M69"/>
  <c r="M68"/>
  <c r="M67"/>
  <c r="M66"/>
  <c r="M59"/>
  <c r="M54"/>
  <c r="M53"/>
  <c r="M52"/>
  <c r="M51"/>
  <c r="M50"/>
  <c r="M49"/>
  <c r="M48"/>
  <c r="M47"/>
  <c r="M45"/>
  <c r="M44"/>
  <c r="M43"/>
  <c r="M41"/>
  <c r="M40"/>
  <c r="M39"/>
  <c r="M38"/>
  <c r="M37"/>
  <c r="M36"/>
  <c r="M35"/>
  <c r="M34"/>
  <c r="M33"/>
  <c r="M32"/>
  <c r="M31"/>
  <c r="M30"/>
  <c r="M29"/>
  <c r="L18"/>
  <c r="M18"/>
  <c r="L19"/>
  <c r="M19"/>
  <c r="N19"/>
  <c r="L20"/>
  <c r="M20"/>
  <c r="N20" s="1"/>
  <c r="L21"/>
  <c r="M21"/>
  <c r="L22"/>
  <c r="M22"/>
  <c r="N22" s="1"/>
  <c r="L23"/>
  <c r="M23"/>
  <c r="L24"/>
  <c r="M24"/>
  <c r="L25"/>
  <c r="M25"/>
  <c r="M28"/>
  <c r="M26"/>
  <c r="M17"/>
  <c r="M16"/>
  <c r="M15"/>
  <c r="M14"/>
  <c r="M13"/>
  <c r="M12"/>
  <c r="M5"/>
  <c r="M6"/>
  <c r="M7"/>
  <c r="M8"/>
  <c r="M9"/>
  <c r="M10"/>
  <c r="P186" i="11"/>
  <c r="K183"/>
  <c r="L183"/>
  <c r="P169"/>
  <c r="P163"/>
  <c r="K163"/>
  <c r="L163"/>
  <c r="M163" s="1"/>
  <c r="K164"/>
  <c r="L164"/>
  <c r="M164" s="1"/>
  <c r="K165"/>
  <c r="L165"/>
  <c r="M165" s="1"/>
  <c r="K166"/>
  <c r="L166"/>
  <c r="K167"/>
  <c r="L167"/>
  <c r="P136"/>
  <c r="P135"/>
  <c r="L136"/>
  <c r="M136" s="1"/>
  <c r="K136"/>
  <c r="L131"/>
  <c r="K131"/>
  <c r="P123"/>
  <c r="P120"/>
  <c r="P117"/>
  <c r="L117"/>
  <c r="K117"/>
  <c r="P116"/>
  <c r="P105"/>
  <c r="L105"/>
  <c r="K105"/>
  <c r="P74"/>
  <c r="P88"/>
  <c r="P84"/>
  <c r="P65"/>
  <c r="P57"/>
  <c r="L66"/>
  <c r="K66"/>
  <c r="L65"/>
  <c r="K65"/>
  <c r="P45"/>
  <c r="P43"/>
  <c r="P38"/>
  <c r="P37"/>
  <c r="P36"/>
  <c r="L38"/>
  <c r="K38"/>
  <c r="M38" s="1"/>
  <c r="L36"/>
  <c r="M36" s="1"/>
  <c r="K36"/>
  <c r="P23"/>
  <c r="P19"/>
  <c r="L23"/>
  <c r="K23"/>
  <c r="P19" i="16"/>
  <c r="P9"/>
  <c r="P6"/>
  <c r="O24"/>
  <c r="N24"/>
  <c r="O15"/>
  <c r="N15"/>
  <c r="L35" i="14"/>
  <c r="K35"/>
  <c r="L18"/>
  <c r="M18" s="1"/>
  <c r="K18"/>
  <c r="O188" i="11"/>
  <c r="N188"/>
  <c r="O172"/>
  <c r="N172"/>
  <c r="O142"/>
  <c r="N142"/>
  <c r="O125"/>
  <c r="N125"/>
  <c r="O92"/>
  <c r="N92"/>
  <c r="O72"/>
  <c r="N72"/>
  <c r="O46"/>
  <c r="N46"/>
  <c r="O26"/>
  <c r="N26"/>
  <c r="P345" i="10"/>
  <c r="O345"/>
  <c r="P343"/>
  <c r="O343"/>
  <c r="P325"/>
  <c r="Q325" s="1"/>
  <c r="O325"/>
  <c r="P303"/>
  <c r="O303"/>
  <c r="P301"/>
  <c r="O301"/>
  <c r="P281"/>
  <c r="O281"/>
  <c r="P251"/>
  <c r="O251"/>
  <c r="P249"/>
  <c r="O249"/>
  <c r="P226"/>
  <c r="O226"/>
  <c r="P206"/>
  <c r="O206"/>
  <c r="P204"/>
  <c r="O204"/>
  <c r="P179"/>
  <c r="O179"/>
  <c r="P154"/>
  <c r="O154"/>
  <c r="P152"/>
  <c r="O152"/>
  <c r="P129"/>
  <c r="O129"/>
  <c r="P104"/>
  <c r="O104"/>
  <c r="P89"/>
  <c r="O89"/>
  <c r="P60"/>
  <c r="O60"/>
  <c r="P58"/>
  <c r="Q58" s="1"/>
  <c r="O58"/>
  <c r="P46"/>
  <c r="Q46" s="1"/>
  <c r="O46"/>
  <c r="P27"/>
  <c r="O27"/>
  <c r="P11"/>
  <c r="O11"/>
  <c r="O48" i="9"/>
  <c r="N48"/>
  <c r="O31"/>
  <c r="N31"/>
  <c r="P96" i="8"/>
  <c r="O96"/>
  <c r="P94"/>
  <c r="O94"/>
  <c r="P66"/>
  <c r="O66"/>
  <c r="P46"/>
  <c r="O46"/>
  <c r="P44"/>
  <c r="O44"/>
  <c r="P29"/>
  <c r="O29"/>
  <c r="O269" i="7"/>
  <c r="N269"/>
  <c r="O253"/>
  <c r="N253"/>
  <c r="O204"/>
  <c r="N204"/>
  <c r="O176"/>
  <c r="N176"/>
  <c r="O158"/>
  <c r="N158"/>
  <c r="O131"/>
  <c r="N131"/>
  <c r="O115"/>
  <c r="N115"/>
  <c r="O82"/>
  <c r="N82"/>
  <c r="O63"/>
  <c r="N63"/>
  <c r="O35"/>
  <c r="P35" s="1"/>
  <c r="N35"/>
  <c r="O17"/>
  <c r="N17"/>
  <c r="M23" i="11" l="1"/>
  <c r="M65"/>
  <c r="M167"/>
  <c r="M117"/>
  <c r="M166"/>
  <c r="T92" i="10"/>
  <c r="T94"/>
  <c r="N124"/>
  <c r="N201"/>
  <c r="N241"/>
  <c r="N296"/>
  <c r="N315"/>
  <c r="M301"/>
  <c r="T5"/>
  <c r="N127"/>
  <c r="N177"/>
  <c r="N240"/>
  <c r="N272"/>
  <c r="N270"/>
  <c r="N293"/>
  <c r="N318"/>
  <c r="M12" i="9"/>
  <c r="M28"/>
  <c r="N23" i="8"/>
  <c r="N15"/>
  <c r="N11"/>
  <c r="N9"/>
  <c r="M103" i="7"/>
  <c r="M150"/>
  <c r="M201"/>
  <c r="M196"/>
  <c r="M217"/>
  <c r="M264"/>
  <c r="M151"/>
  <c r="E119" i="23"/>
  <c r="G119" i="20"/>
  <c r="G106" i="23"/>
  <c r="G108"/>
  <c r="G114"/>
  <c r="G116"/>
  <c r="E108"/>
  <c r="G89" i="20"/>
  <c r="G90"/>
  <c r="G91"/>
  <c r="G89" i="23"/>
  <c r="G91"/>
  <c r="G92"/>
  <c r="G93"/>
  <c r="E89"/>
  <c r="E90"/>
  <c r="E91"/>
  <c r="E92"/>
  <c r="E94"/>
  <c r="E95"/>
  <c r="E96"/>
  <c r="E97"/>
  <c r="E98"/>
  <c r="E99"/>
  <c r="E100"/>
  <c r="E89" i="20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01" i="23"/>
  <c r="E116"/>
  <c r="G94"/>
  <c r="G95"/>
  <c r="G97"/>
  <c r="G99"/>
  <c r="G101"/>
  <c r="AF118" i="24"/>
  <c r="D88" i="23"/>
  <c r="E102"/>
  <c r="E103"/>
  <c r="E104"/>
  <c r="E105"/>
  <c r="E106"/>
  <c r="E107"/>
  <c r="E109"/>
  <c r="E110"/>
  <c r="E111"/>
  <c r="E112"/>
  <c r="E113"/>
  <c r="E114"/>
  <c r="E115"/>
  <c r="E117"/>
  <c r="G119"/>
  <c r="C118"/>
  <c r="G90"/>
  <c r="G96"/>
  <c r="G98"/>
  <c r="G100"/>
  <c r="AD118" i="24"/>
  <c r="B88" i="23"/>
  <c r="B118" s="1"/>
  <c r="E93"/>
  <c r="AH118" i="24"/>
  <c r="F88" i="23"/>
  <c r="G88" s="1"/>
  <c r="G102"/>
  <c r="G103"/>
  <c r="G104"/>
  <c r="G105"/>
  <c r="G107"/>
  <c r="G109"/>
  <c r="G110"/>
  <c r="G111"/>
  <c r="G112"/>
  <c r="G113"/>
  <c r="G115"/>
  <c r="G117"/>
  <c r="AF118" i="22"/>
  <c r="D88" i="20"/>
  <c r="E119"/>
  <c r="AD118" i="22"/>
  <c r="B88" i="20"/>
  <c r="B118" s="1"/>
  <c r="AH118" i="22"/>
  <c r="F88" i="20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N18" i="8"/>
  <c r="N16"/>
  <c r="N14"/>
  <c r="N12"/>
  <c r="N13"/>
  <c r="Q29"/>
  <c r="Q66"/>
  <c r="S204" i="10"/>
  <c r="S179"/>
  <c r="R251"/>
  <c r="R249"/>
  <c r="R206"/>
  <c r="R226"/>
  <c r="R179"/>
  <c r="S301"/>
  <c r="S281"/>
  <c r="R303"/>
  <c r="R343"/>
  <c r="M104"/>
  <c r="N170"/>
  <c r="M46"/>
  <c r="M58"/>
  <c r="M152"/>
  <c r="M204"/>
  <c r="T93"/>
  <c r="S249"/>
  <c r="S325"/>
  <c r="S343"/>
  <c r="N269"/>
  <c r="M129"/>
  <c r="M249"/>
  <c r="R104"/>
  <c r="R204"/>
  <c r="R325"/>
  <c r="N218"/>
  <c r="N243"/>
  <c r="N273"/>
  <c r="M179"/>
  <c r="N173"/>
  <c r="N279"/>
  <c r="N277"/>
  <c r="N274"/>
  <c r="S58"/>
  <c r="S152"/>
  <c r="S129"/>
  <c r="S46"/>
  <c r="S154"/>
  <c r="S104"/>
  <c r="S11"/>
  <c r="R152"/>
  <c r="R154"/>
  <c r="R58"/>
  <c r="R129"/>
  <c r="R27"/>
  <c r="R11"/>
  <c r="S58" i="7"/>
  <c r="S59"/>
  <c r="S57"/>
  <c r="S61"/>
  <c r="S60"/>
  <c r="AN60" i="12"/>
  <c r="AN62" s="1"/>
  <c r="AN61"/>
  <c r="AN63" s="1"/>
  <c r="AP60"/>
  <c r="AP62" s="1"/>
  <c r="AI119" i="22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9" i="24"/>
  <c r="AI89"/>
  <c r="AI90"/>
  <c r="AI91"/>
  <c r="AI92"/>
  <c r="AI93"/>
  <c r="AI94"/>
  <c r="AI96"/>
  <c r="AI97"/>
  <c r="AI98"/>
  <c r="AI99"/>
  <c r="AI100"/>
  <c r="AI101"/>
  <c r="AI102"/>
  <c r="AI104"/>
  <c r="AI105"/>
  <c r="AI106"/>
  <c r="AI107"/>
  <c r="AI108"/>
  <c r="AI109"/>
  <c r="AI110"/>
  <c r="AI112"/>
  <c r="AI113"/>
  <c r="AI114"/>
  <c r="AI115"/>
  <c r="AI116"/>
  <c r="AI117"/>
  <c r="AG119"/>
  <c r="AG89"/>
  <c r="AG90"/>
  <c r="AG91"/>
  <c r="AG93"/>
  <c r="AG94"/>
  <c r="AG95"/>
  <c r="AG96"/>
  <c r="AG97"/>
  <c r="AG98"/>
  <c r="AG99"/>
  <c r="AG101"/>
  <c r="AG102"/>
  <c r="AG103"/>
  <c r="AG104"/>
  <c r="AG105"/>
  <c r="AG106"/>
  <c r="AG107"/>
  <c r="AG109"/>
  <c r="AG110"/>
  <c r="AG111"/>
  <c r="AG112"/>
  <c r="AG113"/>
  <c r="AG114"/>
  <c r="AG115"/>
  <c r="AG119" i="22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7" i="24"/>
  <c r="AE118"/>
  <c r="AI118" s="1"/>
  <c r="AG88"/>
  <c r="AG92"/>
  <c r="AI95"/>
  <c r="AG100"/>
  <c r="AI103"/>
  <c r="AG108"/>
  <c r="AI111"/>
  <c r="AG116"/>
  <c r="AI88"/>
  <c r="AE118" i="22"/>
  <c r="AI118" s="1"/>
  <c r="AG88"/>
  <c r="AI88"/>
  <c r="AP63" i="12"/>
  <c r="M325" i="10"/>
  <c r="S27"/>
  <c r="M27"/>
  <c r="M343"/>
  <c r="M281"/>
  <c r="M226"/>
  <c r="M89"/>
  <c r="S345"/>
  <c r="R345"/>
  <c r="S89"/>
  <c r="R89"/>
  <c r="R281"/>
  <c r="M206"/>
  <c r="M154"/>
  <c r="AG118" i="22" l="1"/>
  <c r="AG118" i="24"/>
  <c r="F118" i="23"/>
  <c r="G118" s="1"/>
  <c r="D118"/>
  <c r="E118" s="1"/>
  <c r="E88"/>
  <c r="E88" i="20"/>
  <c r="F118"/>
  <c r="G118" s="1"/>
  <c r="G88"/>
  <c r="D118"/>
  <c r="E118" s="1"/>
  <c r="AD53" i="12"/>
  <c r="AD52"/>
  <c r="AB53"/>
  <c r="AB52"/>
  <c r="AD59"/>
  <c r="AD58"/>
  <c r="AD57"/>
  <c r="AD56"/>
  <c r="AB59"/>
  <c r="AB58"/>
  <c r="AB57"/>
  <c r="AB56"/>
  <c r="AD29"/>
  <c r="AD28"/>
  <c r="AB29"/>
  <c r="AB28"/>
  <c r="Q68" i="2"/>
  <c r="Q69"/>
  <c r="AD21" i="12"/>
  <c r="AD20"/>
  <c r="AB21"/>
  <c r="AB20"/>
  <c r="Q77" i="1"/>
  <c r="Q78"/>
  <c r="Q40" i="2"/>
  <c r="Q61" s="1"/>
  <c r="Q39"/>
  <c r="Q60" s="1"/>
  <c r="Q40" i="1"/>
  <c r="Q41" s="1"/>
  <c r="Q39"/>
  <c r="AD37" i="12"/>
  <c r="AD36"/>
  <c r="AB37"/>
  <c r="AB36"/>
  <c r="AD45"/>
  <c r="AD44"/>
  <c r="AB45"/>
  <c r="AB44"/>
  <c r="Q10" i="2"/>
  <c r="Q9"/>
  <c r="Q106"/>
  <c r="Q105"/>
  <c r="Q104"/>
  <c r="Q101"/>
  <c r="Q97"/>
  <c r="Q96"/>
  <c r="Q95"/>
  <c r="Q92"/>
  <c r="Q88"/>
  <c r="Q87"/>
  <c r="Q86"/>
  <c r="Q83"/>
  <c r="Q79"/>
  <c r="Q78"/>
  <c r="Q77"/>
  <c r="Q74"/>
  <c r="Q65"/>
  <c r="Q59"/>
  <c r="Q56"/>
  <c r="Q53"/>
  <c r="Q50"/>
  <c r="Q47"/>
  <c r="Q44"/>
  <c r="Q38"/>
  <c r="Q35"/>
  <c r="Q29"/>
  <c r="Q26"/>
  <c r="Q23"/>
  <c r="Q20"/>
  <c r="Q17"/>
  <c r="Q14"/>
  <c r="Q31"/>
  <c r="Q30"/>
  <c r="Q8"/>
  <c r="Q97" i="1"/>
  <c r="Q96"/>
  <c r="Q88"/>
  <c r="Q87"/>
  <c r="Q79"/>
  <c r="Q70"/>
  <c r="Q69"/>
  <c r="Q61"/>
  <c r="Q60"/>
  <c r="Q104"/>
  <c r="Q101"/>
  <c r="Q95"/>
  <c r="Q92"/>
  <c r="Q86"/>
  <c r="Q83"/>
  <c r="Q74"/>
  <c r="Q68"/>
  <c r="Q65"/>
  <c r="Q59"/>
  <c r="Q56"/>
  <c r="Q53"/>
  <c r="Q50"/>
  <c r="Q47"/>
  <c r="Q44"/>
  <c r="Q38"/>
  <c r="Q35"/>
  <c r="Q29"/>
  <c r="Q26"/>
  <c r="Q23"/>
  <c r="Q20"/>
  <c r="Q17"/>
  <c r="Q14"/>
  <c r="Q8"/>
  <c r="Q10"/>
  <c r="Q11" s="1"/>
  <c r="Q9"/>
  <c r="Q30" s="1"/>
  <c r="AD13" i="12"/>
  <c r="AD61" s="1"/>
  <c r="AD12"/>
  <c r="AD60" s="1"/>
  <c r="AB13"/>
  <c r="AB61" s="1"/>
  <c r="AB12"/>
  <c r="P40" i="2"/>
  <c r="P39"/>
  <c r="P40" i="1"/>
  <c r="P39"/>
  <c r="P10" i="2"/>
  <c r="P9"/>
  <c r="P10" i="1"/>
  <c r="P9"/>
  <c r="L30" i="7"/>
  <c r="I12" i="14"/>
  <c r="AB60" i="12" l="1"/>
  <c r="AB62" s="1"/>
  <c r="AB63"/>
  <c r="Q31" i="1"/>
  <c r="Q98" i="2"/>
  <c r="Q98" i="1"/>
  <c r="AD63" i="12"/>
  <c r="AD62"/>
  <c r="Q70" i="2"/>
  <c r="Q71" s="1"/>
  <c r="Q71" i="1"/>
  <c r="Q80" i="2"/>
  <c r="Q80" i="1"/>
  <c r="Q41" i="2"/>
  <c r="Q62"/>
  <c r="Q62" i="1"/>
  <c r="Q89" i="2"/>
  <c r="Q89" i="1"/>
  <c r="Q107" i="2"/>
  <c r="Q32" i="1"/>
  <c r="Q11" i="2"/>
  <c r="Q32"/>
  <c r="J6" i="16"/>
  <c r="G27" i="14"/>
  <c r="G11"/>
  <c r="J186" i="11"/>
  <c r="J163"/>
  <c r="J164"/>
  <c r="J165"/>
  <c r="J167"/>
  <c r="J168"/>
  <c r="J169"/>
  <c r="J130"/>
  <c r="J132"/>
  <c r="J133"/>
  <c r="J134"/>
  <c r="J135"/>
  <c r="J136"/>
  <c r="J138"/>
  <c r="J140"/>
  <c r="J104"/>
  <c r="J105"/>
  <c r="J106"/>
  <c r="J107"/>
  <c r="J108"/>
  <c r="J109"/>
  <c r="J110"/>
  <c r="J111"/>
  <c r="J112"/>
  <c r="J113"/>
  <c r="J114"/>
  <c r="J118"/>
  <c r="J119"/>
  <c r="J121"/>
  <c r="J122"/>
  <c r="J84"/>
  <c r="J86"/>
  <c r="J87"/>
  <c r="J88"/>
  <c r="J57"/>
  <c r="J58"/>
  <c r="J59"/>
  <c r="J60"/>
  <c r="J62"/>
  <c r="J67"/>
  <c r="J33"/>
  <c r="J34"/>
  <c r="J38"/>
  <c r="J39"/>
  <c r="J40"/>
  <c r="J42"/>
  <c r="J45"/>
  <c r="J11"/>
  <c r="J12"/>
  <c r="J13"/>
  <c r="J14"/>
  <c r="J15"/>
  <c r="J16"/>
  <c r="J17"/>
  <c r="J18"/>
  <c r="J20"/>
  <c r="J22"/>
  <c r="J23"/>
  <c r="J24"/>
  <c r="K331" i="10"/>
  <c r="K332"/>
  <c r="K335"/>
  <c r="K336"/>
  <c r="K337"/>
  <c r="K314"/>
  <c r="K317"/>
  <c r="K318"/>
  <c r="K288"/>
  <c r="K289"/>
  <c r="K290"/>
  <c r="K292"/>
  <c r="K295"/>
  <c r="K297"/>
  <c r="K265"/>
  <c r="K266"/>
  <c r="K267"/>
  <c r="K268"/>
  <c r="K269"/>
  <c r="K270"/>
  <c r="K271"/>
  <c r="K272"/>
  <c r="K273"/>
  <c r="K274"/>
  <c r="K276"/>
  <c r="K278"/>
  <c r="K279"/>
  <c r="K236"/>
  <c r="K237"/>
  <c r="K238"/>
  <c r="K239"/>
  <c r="K240"/>
  <c r="K241"/>
  <c r="K242"/>
  <c r="K243"/>
  <c r="K244"/>
  <c r="K245"/>
  <c r="K216"/>
  <c r="K219"/>
  <c r="K220"/>
  <c r="K221"/>
  <c r="K222"/>
  <c r="K201"/>
  <c r="K168"/>
  <c r="K166"/>
  <c r="K167"/>
  <c r="K170"/>
  <c r="K171"/>
  <c r="K134"/>
  <c r="K135"/>
  <c r="K136"/>
  <c r="K138"/>
  <c r="K139"/>
  <c r="K140"/>
  <c r="K142"/>
  <c r="K143"/>
  <c r="K122"/>
  <c r="K123"/>
  <c r="K124"/>
  <c r="K71"/>
  <c r="K72"/>
  <c r="K73"/>
  <c r="K74"/>
  <c r="K75"/>
  <c r="K76"/>
  <c r="K77"/>
  <c r="K78"/>
  <c r="K80"/>
  <c r="K83"/>
  <c r="K55"/>
  <c r="K54"/>
  <c r="K53"/>
  <c r="K52"/>
  <c r="K51"/>
  <c r="K49"/>
  <c r="K50"/>
  <c r="K34"/>
  <c r="K35"/>
  <c r="K37"/>
  <c r="K39"/>
  <c r="K40"/>
  <c r="K41"/>
  <c r="K19"/>
  <c r="K20"/>
  <c r="K7"/>
  <c r="J35" i="9"/>
  <c r="J37"/>
  <c r="J41"/>
  <c r="J4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8"/>
  <c r="J29"/>
  <c r="K71" i="8"/>
  <c r="K72"/>
  <c r="K51"/>
  <c r="K54"/>
  <c r="K12"/>
  <c r="K13"/>
  <c r="K14"/>
  <c r="K15"/>
  <c r="K17"/>
  <c r="J258" i="7"/>
  <c r="J260"/>
  <c r="J261"/>
  <c r="J263"/>
  <c r="J264"/>
  <c r="J240"/>
  <c r="J241"/>
  <c r="J242"/>
  <c r="J243"/>
  <c r="J244"/>
  <c r="J245"/>
  <c r="J246"/>
  <c r="J247"/>
  <c r="J248"/>
  <c r="J249"/>
  <c r="J250"/>
  <c r="J213"/>
  <c r="J214"/>
  <c r="J215"/>
  <c r="J216"/>
  <c r="J202"/>
  <c r="J187"/>
  <c r="J188"/>
  <c r="J189"/>
  <c r="J190"/>
  <c r="J191"/>
  <c r="J192"/>
  <c r="J193"/>
  <c r="J195"/>
  <c r="J196"/>
  <c r="J197"/>
  <c r="J198"/>
  <c r="J200"/>
  <c r="J167"/>
  <c r="J168"/>
  <c r="J169"/>
  <c r="J152"/>
  <c r="J153"/>
  <c r="J154"/>
  <c r="J121"/>
  <c r="J122"/>
  <c r="J123"/>
  <c r="J126"/>
  <c r="J127"/>
  <c r="J101"/>
  <c r="J102"/>
  <c r="J103"/>
  <c r="J104"/>
  <c r="J106"/>
  <c r="J107"/>
  <c r="J108"/>
  <c r="J109"/>
  <c r="J110"/>
  <c r="J67"/>
  <c r="J68"/>
  <c r="J69"/>
  <c r="J70"/>
  <c r="J71"/>
  <c r="J72"/>
  <c r="J73"/>
  <c r="J74"/>
  <c r="I24" i="16"/>
  <c r="H24"/>
  <c r="I15"/>
  <c r="H15"/>
  <c r="F35" i="14"/>
  <c r="E35"/>
  <c r="F18"/>
  <c r="E18"/>
  <c r="I188" i="11"/>
  <c r="H188"/>
  <c r="I172"/>
  <c r="H172"/>
  <c r="I142"/>
  <c r="H142"/>
  <c r="I125"/>
  <c r="H125"/>
  <c r="I92"/>
  <c r="H92"/>
  <c r="I72"/>
  <c r="H72"/>
  <c r="I46"/>
  <c r="H46"/>
  <c r="I26"/>
  <c r="H26"/>
  <c r="J345" i="10"/>
  <c r="I345"/>
  <c r="J343"/>
  <c r="I343"/>
  <c r="J325"/>
  <c r="K325" s="1"/>
  <c r="I325"/>
  <c r="J303"/>
  <c r="I303"/>
  <c r="J301"/>
  <c r="I301"/>
  <c r="J281"/>
  <c r="I281"/>
  <c r="J251"/>
  <c r="I251"/>
  <c r="J249"/>
  <c r="I249"/>
  <c r="J226"/>
  <c r="I226"/>
  <c r="J206"/>
  <c r="I206"/>
  <c r="J204"/>
  <c r="I204"/>
  <c r="J179"/>
  <c r="I179"/>
  <c r="J154"/>
  <c r="I154"/>
  <c r="J152"/>
  <c r="I152"/>
  <c r="J129"/>
  <c r="I129"/>
  <c r="J104"/>
  <c r="I104"/>
  <c r="J89"/>
  <c r="I89"/>
  <c r="J60"/>
  <c r="M60" s="1"/>
  <c r="I60"/>
  <c r="J58"/>
  <c r="K58" s="1"/>
  <c r="I58"/>
  <c r="J46"/>
  <c r="K46" s="1"/>
  <c r="I46"/>
  <c r="J27"/>
  <c r="I27"/>
  <c r="J11"/>
  <c r="I11"/>
  <c r="I48" i="9"/>
  <c r="H48"/>
  <c r="I31"/>
  <c r="H31"/>
  <c r="J96" i="8"/>
  <c r="I96"/>
  <c r="J94"/>
  <c r="I94"/>
  <c r="J66"/>
  <c r="I66"/>
  <c r="J46"/>
  <c r="I46"/>
  <c r="J44"/>
  <c r="I44"/>
  <c r="J29"/>
  <c r="K29" s="1"/>
  <c r="I29"/>
  <c r="J236" i="7"/>
  <c r="J150"/>
  <c r="J23"/>
  <c r="J27"/>
  <c r="J55"/>
  <c r="J57"/>
  <c r="J58"/>
  <c r="J59"/>
  <c r="J61"/>
  <c r="J62"/>
  <c r="J50"/>
  <c r="J51"/>
  <c r="J52"/>
  <c r="J53"/>
  <c r="J54"/>
  <c r="I269"/>
  <c r="I253"/>
  <c r="I220"/>
  <c r="I204"/>
  <c r="I176"/>
  <c r="I158"/>
  <c r="I131"/>
  <c r="I115"/>
  <c r="I82"/>
  <c r="I63"/>
  <c r="I35"/>
  <c r="I17"/>
  <c r="H38" i="22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C38"/>
  <c r="D38"/>
  <c r="E38"/>
  <c r="F38"/>
  <c r="G38"/>
  <c r="B38"/>
  <c r="AC38" i="24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K97" i="2"/>
  <c r="K98" s="1"/>
  <c r="K96"/>
  <c r="R53" i="12"/>
  <c r="R52"/>
  <c r="P53"/>
  <c r="P52"/>
  <c r="R59"/>
  <c r="R58"/>
  <c r="R57"/>
  <c r="R56"/>
  <c r="P59"/>
  <c r="P58"/>
  <c r="P57"/>
  <c r="P56"/>
  <c r="R21"/>
  <c r="R20"/>
  <c r="P21"/>
  <c r="P20"/>
  <c r="K79" i="2"/>
  <c r="K78"/>
  <c r="K70"/>
  <c r="K69"/>
  <c r="R29" i="12"/>
  <c r="R28"/>
  <c r="P29"/>
  <c r="P28"/>
  <c r="R37"/>
  <c r="R36"/>
  <c r="P37"/>
  <c r="P36"/>
  <c r="K40" i="2"/>
  <c r="K61" s="1"/>
  <c r="K39"/>
  <c r="K60" s="1"/>
  <c r="K40" i="1"/>
  <c r="K61" s="1"/>
  <c r="K39"/>
  <c r="K60" s="1"/>
  <c r="R45" i="12"/>
  <c r="R44"/>
  <c r="P45"/>
  <c r="P44"/>
  <c r="K88" i="2"/>
  <c r="K87"/>
  <c r="K97" i="1"/>
  <c r="K96"/>
  <c r="K88"/>
  <c r="K87"/>
  <c r="K79"/>
  <c r="K78"/>
  <c r="K70"/>
  <c r="K69"/>
  <c r="AI106" i="2"/>
  <c r="AI105"/>
  <c r="AI104"/>
  <c r="AI101"/>
  <c r="AI97"/>
  <c r="AI96"/>
  <c r="AI95"/>
  <c r="AI92"/>
  <c r="AI88"/>
  <c r="AI87"/>
  <c r="AI86"/>
  <c r="AI83"/>
  <c r="AI79"/>
  <c r="AI78"/>
  <c r="AI77"/>
  <c r="AI74"/>
  <c r="AI70"/>
  <c r="AI69"/>
  <c r="AI68"/>
  <c r="AI65"/>
  <c r="AI61"/>
  <c r="AI60"/>
  <c r="AI59"/>
  <c r="AI56"/>
  <c r="AI53"/>
  <c r="AI50"/>
  <c r="AI47"/>
  <c r="AI44"/>
  <c r="AI41"/>
  <c r="AI38"/>
  <c r="AI35"/>
  <c r="AI31"/>
  <c r="AI30"/>
  <c r="AI29"/>
  <c r="AI26"/>
  <c r="AI23"/>
  <c r="AI20"/>
  <c r="AI17"/>
  <c r="AI14"/>
  <c r="AI11"/>
  <c r="AI8"/>
  <c r="AC106"/>
  <c r="AC105"/>
  <c r="AC104"/>
  <c r="AC101"/>
  <c r="AC97"/>
  <c r="AC96"/>
  <c r="AC95"/>
  <c r="AC92"/>
  <c r="AC88"/>
  <c r="AC87"/>
  <c r="AC89" s="1"/>
  <c r="AC86"/>
  <c r="AC83"/>
  <c r="AC79"/>
  <c r="AC78"/>
  <c r="AC77"/>
  <c r="AC74"/>
  <c r="AC70"/>
  <c r="AC69"/>
  <c r="AC68"/>
  <c r="AC65"/>
  <c r="AC61"/>
  <c r="AC60"/>
  <c r="AC59"/>
  <c r="AC56"/>
  <c r="AC53"/>
  <c r="AC50"/>
  <c r="AC47"/>
  <c r="AC44"/>
  <c r="AC41"/>
  <c r="AC38"/>
  <c r="AC35"/>
  <c r="AC31"/>
  <c r="AC30"/>
  <c r="AC29"/>
  <c r="AC26"/>
  <c r="AC23"/>
  <c r="AC20"/>
  <c r="AC17"/>
  <c r="AC14"/>
  <c r="AC11"/>
  <c r="AC8"/>
  <c r="W106"/>
  <c r="W105"/>
  <c r="W104"/>
  <c r="W101"/>
  <c r="W97"/>
  <c r="W96"/>
  <c r="W95"/>
  <c r="W92"/>
  <c r="W88"/>
  <c r="W87"/>
  <c r="W86"/>
  <c r="W83"/>
  <c r="W79"/>
  <c r="W78"/>
  <c r="W77"/>
  <c r="W74"/>
  <c r="W70"/>
  <c r="W71" s="1"/>
  <c r="W69"/>
  <c r="W68"/>
  <c r="W65"/>
  <c r="W61"/>
  <c r="W60"/>
  <c r="W59"/>
  <c r="W56"/>
  <c r="W53"/>
  <c r="W50"/>
  <c r="W47"/>
  <c r="W44"/>
  <c r="W41"/>
  <c r="W38"/>
  <c r="W35"/>
  <c r="W31"/>
  <c r="W30"/>
  <c r="W29"/>
  <c r="W26"/>
  <c r="W23"/>
  <c r="W20"/>
  <c r="W17"/>
  <c r="W14"/>
  <c r="W11"/>
  <c r="W8"/>
  <c r="K104" i="1"/>
  <c r="K101"/>
  <c r="K98"/>
  <c r="K95"/>
  <c r="K92"/>
  <c r="K86"/>
  <c r="K83"/>
  <c r="K77"/>
  <c r="K74"/>
  <c r="K71"/>
  <c r="K68"/>
  <c r="K65"/>
  <c r="K59"/>
  <c r="K56"/>
  <c r="K53"/>
  <c r="K50"/>
  <c r="K47"/>
  <c r="K44"/>
  <c r="K41"/>
  <c r="K38"/>
  <c r="K35"/>
  <c r="K29"/>
  <c r="K26"/>
  <c r="K23"/>
  <c r="K20"/>
  <c r="K17"/>
  <c r="K14"/>
  <c r="K10" i="2"/>
  <c r="K31" s="1"/>
  <c r="K9"/>
  <c r="K30" s="1"/>
  <c r="K104"/>
  <c r="K101"/>
  <c r="K95"/>
  <c r="K92"/>
  <c r="K89"/>
  <c r="K86"/>
  <c r="K83"/>
  <c r="K80"/>
  <c r="K77"/>
  <c r="K74"/>
  <c r="K71"/>
  <c r="K68"/>
  <c r="K65"/>
  <c r="K59"/>
  <c r="K56"/>
  <c r="K53"/>
  <c r="K50"/>
  <c r="K47"/>
  <c r="K44"/>
  <c r="K41"/>
  <c r="K38"/>
  <c r="K35"/>
  <c r="K29"/>
  <c r="K26"/>
  <c r="K23"/>
  <c r="K20"/>
  <c r="K17"/>
  <c r="K14"/>
  <c r="K11"/>
  <c r="K8"/>
  <c r="K10" i="1"/>
  <c r="K31" s="1"/>
  <c r="K9"/>
  <c r="K30" s="1"/>
  <c r="K8"/>
  <c r="R13" i="12"/>
  <c r="R61" s="1"/>
  <c r="R12"/>
  <c r="R60" s="1"/>
  <c r="P13"/>
  <c r="P61" s="1"/>
  <c r="P12"/>
  <c r="P60" s="1"/>
  <c r="J40" i="2"/>
  <c r="J39"/>
  <c r="J40" i="1"/>
  <c r="J39"/>
  <c r="J10" i="2"/>
  <c r="J9"/>
  <c r="J10" i="1"/>
  <c r="J9"/>
  <c r="R62" i="12" l="1"/>
  <c r="P63"/>
  <c r="K11" i="1"/>
  <c r="AI98" i="2"/>
  <c r="AI71"/>
  <c r="AI80"/>
  <c r="AI62"/>
  <c r="AI89"/>
  <c r="AI32"/>
  <c r="AI107"/>
  <c r="AC98"/>
  <c r="AC80"/>
  <c r="AC71"/>
  <c r="AC62"/>
  <c r="AC107"/>
  <c r="AC32"/>
  <c r="K44" i="8"/>
  <c r="K66"/>
  <c r="W98" i="2"/>
  <c r="W80"/>
  <c r="W62"/>
  <c r="W89"/>
  <c r="W107"/>
  <c r="W32"/>
  <c r="R63" i="12"/>
  <c r="P62"/>
  <c r="K80" i="1"/>
  <c r="K62" i="2"/>
  <c r="K62" i="1"/>
  <c r="K89"/>
  <c r="K32" i="2"/>
  <c r="K32" i="1"/>
  <c r="I67"/>
  <c r="I40" i="2"/>
  <c r="I39"/>
  <c r="I60" s="1"/>
  <c r="I40" i="1"/>
  <c r="I39"/>
  <c r="I10" i="2"/>
  <c r="I9"/>
  <c r="I30" s="1"/>
  <c r="I10" i="1"/>
  <c r="I9"/>
  <c r="AG24" i="16"/>
  <c r="AG15"/>
  <c r="U24"/>
  <c r="U15"/>
  <c r="L6"/>
  <c r="L5"/>
  <c r="L8"/>
  <c r="L7"/>
  <c r="L11"/>
  <c r="L9"/>
  <c r="L12"/>
  <c r="L13"/>
  <c r="L14"/>
  <c r="L10"/>
  <c r="L16"/>
  <c r="L17"/>
  <c r="L18"/>
  <c r="L19"/>
  <c r="L21"/>
  <c r="L22"/>
  <c r="L23"/>
  <c r="L25"/>
  <c r="L24" s="1"/>
  <c r="AF24"/>
  <c r="AF15"/>
  <c r="T24"/>
  <c r="T15"/>
  <c r="G24"/>
  <c r="G15"/>
  <c r="AD35" i="14"/>
  <c r="AD18"/>
  <c r="R35"/>
  <c r="R18"/>
  <c r="AC35"/>
  <c r="AC18"/>
  <c r="Q35"/>
  <c r="Q18"/>
  <c r="D35"/>
  <c r="D18"/>
  <c r="AG188" i="11"/>
  <c r="AG172"/>
  <c r="AG142"/>
  <c r="AG125"/>
  <c r="AG92"/>
  <c r="AG72"/>
  <c r="AG46"/>
  <c r="AG26"/>
  <c r="U188"/>
  <c r="U172"/>
  <c r="U142"/>
  <c r="U125"/>
  <c r="U92"/>
  <c r="U72"/>
  <c r="U46"/>
  <c r="U26"/>
  <c r="AF188"/>
  <c r="AF172"/>
  <c r="AF142"/>
  <c r="AF125"/>
  <c r="AF92"/>
  <c r="AF72"/>
  <c r="AF46"/>
  <c r="AF26"/>
  <c r="T188"/>
  <c r="T172"/>
  <c r="T142"/>
  <c r="T125"/>
  <c r="T92"/>
  <c r="T72"/>
  <c r="T46"/>
  <c r="T26"/>
  <c r="G188"/>
  <c r="G172"/>
  <c r="G142"/>
  <c r="G125"/>
  <c r="G92"/>
  <c r="G72"/>
  <c r="G46"/>
  <c r="G26"/>
  <c r="AH345" i="10"/>
  <c r="AH343"/>
  <c r="AH325"/>
  <c r="AH303"/>
  <c r="AH301"/>
  <c r="AH281"/>
  <c r="AH251"/>
  <c r="AH249"/>
  <c r="AH226"/>
  <c r="AH206"/>
  <c r="AH204"/>
  <c r="AH179"/>
  <c r="AH154"/>
  <c r="AH152"/>
  <c r="AH129"/>
  <c r="AH104"/>
  <c r="AH89"/>
  <c r="AH60"/>
  <c r="AE60" s="1"/>
  <c r="AH58"/>
  <c r="AH46"/>
  <c r="AH27"/>
  <c r="AH11"/>
  <c r="AE345"/>
  <c r="AE303"/>
  <c r="V345"/>
  <c r="V343"/>
  <c r="V325"/>
  <c r="V303"/>
  <c r="V301"/>
  <c r="V281"/>
  <c r="V251"/>
  <c r="V249"/>
  <c r="V226"/>
  <c r="V206"/>
  <c r="V204"/>
  <c r="V179"/>
  <c r="V154"/>
  <c r="V152"/>
  <c r="V129"/>
  <c r="V104"/>
  <c r="V89"/>
  <c r="V60"/>
  <c r="V58"/>
  <c r="V46"/>
  <c r="V27"/>
  <c r="V11"/>
  <c r="M11"/>
  <c r="AG345"/>
  <c r="AG343"/>
  <c r="AG325"/>
  <c r="AG303"/>
  <c r="AG301"/>
  <c r="AG281"/>
  <c r="AG251"/>
  <c r="AG249"/>
  <c r="AG226"/>
  <c r="AG206"/>
  <c r="AG204"/>
  <c r="AG179"/>
  <c r="AG154"/>
  <c r="AG152"/>
  <c r="AG129"/>
  <c r="AG104"/>
  <c r="AG89"/>
  <c r="AG60"/>
  <c r="AG58"/>
  <c r="AG46"/>
  <c r="AG27"/>
  <c r="AG11"/>
  <c r="U345"/>
  <c r="U343"/>
  <c r="U325"/>
  <c r="U303"/>
  <c r="U301"/>
  <c r="U281"/>
  <c r="U251"/>
  <c r="U249"/>
  <c r="U226"/>
  <c r="U206"/>
  <c r="U204"/>
  <c r="U179"/>
  <c r="U154"/>
  <c r="U152"/>
  <c r="U129"/>
  <c r="U104"/>
  <c r="U89"/>
  <c r="U60"/>
  <c r="R60" s="1"/>
  <c r="U58"/>
  <c r="U46"/>
  <c r="U27"/>
  <c r="U11"/>
  <c r="AI301"/>
  <c r="AC301"/>
  <c r="L280"/>
  <c r="X280"/>
  <c r="Z280" s="1"/>
  <c r="AI280"/>
  <c r="E301"/>
  <c r="F301"/>
  <c r="G301"/>
  <c r="H301"/>
  <c r="D301"/>
  <c r="H345"/>
  <c r="H343"/>
  <c r="H325"/>
  <c r="H303"/>
  <c r="H281"/>
  <c r="H251"/>
  <c r="H249"/>
  <c r="H226"/>
  <c r="H206"/>
  <c r="H204"/>
  <c r="H179"/>
  <c r="H154"/>
  <c r="H152"/>
  <c r="H129"/>
  <c r="H104"/>
  <c r="H89"/>
  <c r="H60"/>
  <c r="H58"/>
  <c r="H46"/>
  <c r="H27"/>
  <c r="H11"/>
  <c r="AG48" i="9"/>
  <c r="AG31"/>
  <c r="U48"/>
  <c r="U31"/>
  <c r="AF48"/>
  <c r="T31"/>
  <c r="G48"/>
  <c r="G31"/>
  <c r="AH96" i="8"/>
  <c r="AH94"/>
  <c r="AH66"/>
  <c r="AH46"/>
  <c r="AH44"/>
  <c r="AH29"/>
  <c r="V96"/>
  <c r="V94"/>
  <c r="V66"/>
  <c r="V46"/>
  <c r="V44"/>
  <c r="V29"/>
  <c r="AG96"/>
  <c r="AG94"/>
  <c r="AG66"/>
  <c r="AG46"/>
  <c r="AG44"/>
  <c r="AG29"/>
  <c r="U96"/>
  <c r="U94"/>
  <c r="U66"/>
  <c r="U46"/>
  <c r="U44"/>
  <c r="U29"/>
  <c r="H96"/>
  <c r="H94"/>
  <c r="H66"/>
  <c r="H46"/>
  <c r="H44"/>
  <c r="H29"/>
  <c r="AG269" i="7"/>
  <c r="AG253"/>
  <c r="AG220"/>
  <c r="AG204"/>
  <c r="AG176"/>
  <c r="AG158"/>
  <c r="AG131"/>
  <c r="AG115"/>
  <c r="AG82"/>
  <c r="AG63"/>
  <c r="AG35"/>
  <c r="AG17"/>
  <c r="U269"/>
  <c r="U253"/>
  <c r="U220"/>
  <c r="U204"/>
  <c r="U176"/>
  <c r="U158"/>
  <c r="U131"/>
  <c r="U115"/>
  <c r="U82"/>
  <c r="U63"/>
  <c r="U35"/>
  <c r="U17"/>
  <c r="AF269"/>
  <c r="AF253"/>
  <c r="AF220"/>
  <c r="AF204"/>
  <c r="AF176"/>
  <c r="AF158"/>
  <c r="AF131"/>
  <c r="AF115"/>
  <c r="AF82"/>
  <c r="AF63"/>
  <c r="AF35"/>
  <c r="AF17"/>
  <c r="T269"/>
  <c r="T253"/>
  <c r="T220"/>
  <c r="T204"/>
  <c r="T176"/>
  <c r="T158"/>
  <c r="T131"/>
  <c r="T115"/>
  <c r="T82"/>
  <c r="T63"/>
  <c r="T35"/>
  <c r="V35" s="1"/>
  <c r="T17"/>
  <c r="H269"/>
  <c r="H253"/>
  <c r="H220"/>
  <c r="H204"/>
  <c r="J204" s="1"/>
  <c r="H176"/>
  <c r="H158"/>
  <c r="H131"/>
  <c r="H115"/>
  <c r="H82"/>
  <c r="H63"/>
  <c r="H35"/>
  <c r="J35" s="1"/>
  <c r="H17"/>
  <c r="G269"/>
  <c r="G253"/>
  <c r="G220"/>
  <c r="G204"/>
  <c r="G176"/>
  <c r="G158"/>
  <c r="G131"/>
  <c r="G115"/>
  <c r="G82"/>
  <c r="G63"/>
  <c r="G35"/>
  <c r="G17"/>
  <c r="AY59" i="12"/>
  <c r="AY58"/>
  <c r="AY57"/>
  <c r="AY56"/>
  <c r="AY53"/>
  <c r="AY52"/>
  <c r="AY45"/>
  <c r="AY44"/>
  <c r="AY37"/>
  <c r="AY36"/>
  <c r="AY29"/>
  <c r="AY28"/>
  <c r="AY21"/>
  <c r="AY20"/>
  <c r="AY13"/>
  <c r="AY12"/>
  <c r="AX59"/>
  <c r="AX58"/>
  <c r="AX57"/>
  <c r="AX56"/>
  <c r="AX53"/>
  <c r="AX52"/>
  <c r="AX45"/>
  <c r="AX44"/>
  <c r="AX37"/>
  <c r="AX36"/>
  <c r="AX29"/>
  <c r="AX28"/>
  <c r="AX21"/>
  <c r="AX20"/>
  <c r="AX13"/>
  <c r="AX12"/>
  <c r="AM59"/>
  <c r="AM58"/>
  <c r="AM57"/>
  <c r="AM56"/>
  <c r="AM53"/>
  <c r="AM52"/>
  <c r="AM45"/>
  <c r="AM44"/>
  <c r="AM37"/>
  <c r="AM36"/>
  <c r="AM29"/>
  <c r="AM28"/>
  <c r="AM21"/>
  <c r="AM20"/>
  <c r="AM13"/>
  <c r="AM12"/>
  <c r="AL59"/>
  <c r="AL58"/>
  <c r="AL57"/>
  <c r="AL56"/>
  <c r="AL53"/>
  <c r="AL52"/>
  <c r="AL45"/>
  <c r="AL44"/>
  <c r="AL37"/>
  <c r="AL36"/>
  <c r="AL29"/>
  <c r="AL28"/>
  <c r="AL21"/>
  <c r="AL20"/>
  <c r="AL13"/>
  <c r="AL12"/>
  <c r="Z59"/>
  <c r="Z58"/>
  <c r="Z57"/>
  <c r="Z56"/>
  <c r="Z53"/>
  <c r="Z52"/>
  <c r="Z45"/>
  <c r="Z44"/>
  <c r="Z37"/>
  <c r="Z36"/>
  <c r="Z29"/>
  <c r="Z28"/>
  <c r="Z21"/>
  <c r="Z20"/>
  <c r="Z13"/>
  <c r="Z12"/>
  <c r="O59"/>
  <c r="O58"/>
  <c r="O57"/>
  <c r="O56"/>
  <c r="O53"/>
  <c r="O52"/>
  <c r="O45"/>
  <c r="O44"/>
  <c r="O37"/>
  <c r="O36"/>
  <c r="O29"/>
  <c r="O28"/>
  <c r="O21"/>
  <c r="O20"/>
  <c r="O13"/>
  <c r="O12"/>
  <c r="N59"/>
  <c r="N58"/>
  <c r="N57"/>
  <c r="N56"/>
  <c r="N53"/>
  <c r="N52"/>
  <c r="N45"/>
  <c r="N44"/>
  <c r="N37"/>
  <c r="N36"/>
  <c r="N29"/>
  <c r="N28"/>
  <c r="N21"/>
  <c r="N20"/>
  <c r="N13"/>
  <c r="N12"/>
  <c r="M59"/>
  <c r="L59"/>
  <c r="M58"/>
  <c r="L58"/>
  <c r="M57"/>
  <c r="L57"/>
  <c r="M56"/>
  <c r="L56"/>
  <c r="M53"/>
  <c r="L53"/>
  <c r="M52"/>
  <c r="L52"/>
  <c r="M45"/>
  <c r="L45"/>
  <c r="M44"/>
  <c r="L44"/>
  <c r="M37"/>
  <c r="L37"/>
  <c r="M36"/>
  <c r="L36"/>
  <c r="M29"/>
  <c r="L29"/>
  <c r="M28"/>
  <c r="L28"/>
  <c r="M21"/>
  <c r="L21"/>
  <c r="M20"/>
  <c r="L20"/>
  <c r="M13"/>
  <c r="M61" s="1"/>
  <c r="L13"/>
  <c r="L61" s="1"/>
  <c r="M12"/>
  <c r="M60" s="1"/>
  <c r="L12"/>
  <c r="L60" s="1"/>
  <c r="V104" i="2"/>
  <c r="V101"/>
  <c r="V97"/>
  <c r="V96"/>
  <c r="V95"/>
  <c r="V92"/>
  <c r="V88"/>
  <c r="V87"/>
  <c r="V86"/>
  <c r="V83"/>
  <c r="V79"/>
  <c r="V80" s="1"/>
  <c r="V78"/>
  <c r="V77"/>
  <c r="V74"/>
  <c r="V70"/>
  <c r="V69"/>
  <c r="V68"/>
  <c r="V65"/>
  <c r="V59"/>
  <c r="V56"/>
  <c r="V53"/>
  <c r="V50"/>
  <c r="V47"/>
  <c r="V44"/>
  <c r="V61"/>
  <c r="V60"/>
  <c r="V38"/>
  <c r="V35"/>
  <c r="V29"/>
  <c r="V26"/>
  <c r="V23"/>
  <c r="V20"/>
  <c r="V17"/>
  <c r="V14"/>
  <c r="V31"/>
  <c r="V30"/>
  <c r="V8"/>
  <c r="P104"/>
  <c r="P101"/>
  <c r="P97"/>
  <c r="P96"/>
  <c r="P95"/>
  <c r="P92"/>
  <c r="P88"/>
  <c r="P87"/>
  <c r="P86"/>
  <c r="P83"/>
  <c r="P79"/>
  <c r="P78"/>
  <c r="P77"/>
  <c r="P74"/>
  <c r="P70"/>
  <c r="P69"/>
  <c r="P68"/>
  <c r="P65"/>
  <c r="P59"/>
  <c r="P56"/>
  <c r="P53"/>
  <c r="P50"/>
  <c r="P47"/>
  <c r="P44"/>
  <c r="P61"/>
  <c r="P38"/>
  <c r="P35"/>
  <c r="P29"/>
  <c r="P26"/>
  <c r="P23"/>
  <c r="P20"/>
  <c r="P17"/>
  <c r="P14"/>
  <c r="P31"/>
  <c r="P30"/>
  <c r="P8"/>
  <c r="J104"/>
  <c r="J101"/>
  <c r="J97"/>
  <c r="J96"/>
  <c r="J95"/>
  <c r="J92"/>
  <c r="J88"/>
  <c r="J87"/>
  <c r="J86"/>
  <c r="J83"/>
  <c r="J79"/>
  <c r="J78"/>
  <c r="J77"/>
  <c r="J74"/>
  <c r="J70"/>
  <c r="J69"/>
  <c r="J68"/>
  <c r="J65"/>
  <c r="J59"/>
  <c r="J56"/>
  <c r="J53"/>
  <c r="J50"/>
  <c r="J47"/>
  <c r="J44"/>
  <c r="J61"/>
  <c r="J60"/>
  <c r="J38"/>
  <c r="J35"/>
  <c r="J29"/>
  <c r="J26"/>
  <c r="J23"/>
  <c r="J20"/>
  <c r="J17"/>
  <c r="J14"/>
  <c r="J31"/>
  <c r="J30"/>
  <c r="J8"/>
  <c r="AB104" i="1"/>
  <c r="AB97"/>
  <c r="AB96"/>
  <c r="AB95"/>
  <c r="AB88"/>
  <c r="AB87"/>
  <c r="AB86"/>
  <c r="AB79"/>
  <c r="AB78"/>
  <c r="AB77"/>
  <c r="AB74"/>
  <c r="AB70"/>
  <c r="AB69"/>
  <c r="AB68"/>
  <c r="AB65"/>
  <c r="AB59"/>
  <c r="AB56"/>
  <c r="AB53"/>
  <c r="AB50"/>
  <c r="AB47"/>
  <c r="AB44"/>
  <c r="AB61"/>
  <c r="AB60"/>
  <c r="AB38"/>
  <c r="AB35"/>
  <c r="AB29"/>
  <c r="AB26"/>
  <c r="AB23"/>
  <c r="AB20"/>
  <c r="AB17"/>
  <c r="AB14"/>
  <c r="AB8"/>
  <c r="V104"/>
  <c r="V101"/>
  <c r="V97"/>
  <c r="V96"/>
  <c r="V95"/>
  <c r="V92"/>
  <c r="V88"/>
  <c r="V87"/>
  <c r="V86"/>
  <c r="V83"/>
  <c r="V79"/>
  <c r="V78"/>
  <c r="V77"/>
  <c r="V74"/>
  <c r="V70"/>
  <c r="V69"/>
  <c r="V68"/>
  <c r="V65"/>
  <c r="V59"/>
  <c r="V56"/>
  <c r="V53"/>
  <c r="V50"/>
  <c r="V47"/>
  <c r="V44"/>
  <c r="V61"/>
  <c r="V60"/>
  <c r="V38"/>
  <c r="V35"/>
  <c r="V31"/>
  <c r="V29"/>
  <c r="V26"/>
  <c r="V23"/>
  <c r="V20"/>
  <c r="V17"/>
  <c r="V14"/>
  <c r="V30"/>
  <c r="V8"/>
  <c r="P104"/>
  <c r="P101"/>
  <c r="P97"/>
  <c r="P96"/>
  <c r="P95"/>
  <c r="P92"/>
  <c r="P88"/>
  <c r="P87"/>
  <c r="P86"/>
  <c r="P83"/>
  <c r="P79"/>
  <c r="P78"/>
  <c r="P77"/>
  <c r="P74"/>
  <c r="P70"/>
  <c r="P69"/>
  <c r="P68"/>
  <c r="P65"/>
  <c r="P59"/>
  <c r="P56"/>
  <c r="P53"/>
  <c r="P50"/>
  <c r="P47"/>
  <c r="P44"/>
  <c r="P41"/>
  <c r="P61"/>
  <c r="P60"/>
  <c r="P38"/>
  <c r="P35"/>
  <c r="P29"/>
  <c r="P26"/>
  <c r="P23"/>
  <c r="P20"/>
  <c r="P17"/>
  <c r="P14"/>
  <c r="P31"/>
  <c r="P30"/>
  <c r="P8"/>
  <c r="J104"/>
  <c r="J101"/>
  <c r="J97"/>
  <c r="J98" s="1"/>
  <c r="J96"/>
  <c r="J95"/>
  <c r="J92"/>
  <c r="J88"/>
  <c r="J87"/>
  <c r="J86"/>
  <c r="J83"/>
  <c r="J79"/>
  <c r="J78"/>
  <c r="J77"/>
  <c r="J74"/>
  <c r="J70"/>
  <c r="J69"/>
  <c r="J68"/>
  <c r="J65"/>
  <c r="J59"/>
  <c r="J56"/>
  <c r="J53"/>
  <c r="J50"/>
  <c r="J47"/>
  <c r="J44"/>
  <c r="J61"/>
  <c r="J60"/>
  <c r="J38"/>
  <c r="J35"/>
  <c r="J29"/>
  <c r="J26"/>
  <c r="J23"/>
  <c r="J20"/>
  <c r="J17"/>
  <c r="J14"/>
  <c r="J31"/>
  <c r="J30"/>
  <c r="J8"/>
  <c r="G36" i="13"/>
  <c r="G37"/>
  <c r="G39"/>
  <c r="G40"/>
  <c r="G42"/>
  <c r="G43"/>
  <c r="G45"/>
  <c r="G46"/>
  <c r="G48"/>
  <c r="G49"/>
  <c r="G51"/>
  <c r="G52"/>
  <c r="G54"/>
  <c r="G55"/>
  <c r="G6"/>
  <c r="G7"/>
  <c r="G9"/>
  <c r="G10"/>
  <c r="G12"/>
  <c r="G13"/>
  <c r="G15"/>
  <c r="G16"/>
  <c r="G18"/>
  <c r="G19"/>
  <c r="G21"/>
  <c r="G22"/>
  <c r="G24"/>
  <c r="G25"/>
  <c r="H8" i="2"/>
  <c r="H9"/>
  <c r="H30" s="1"/>
  <c r="H10"/>
  <c r="H31" s="1"/>
  <c r="H14"/>
  <c r="H17"/>
  <c r="H20"/>
  <c r="H23"/>
  <c r="H26"/>
  <c r="H29"/>
  <c r="H35"/>
  <c r="H38"/>
  <c r="H39"/>
  <c r="H60" s="1"/>
  <c r="H40"/>
  <c r="H44"/>
  <c r="H47"/>
  <c r="H50"/>
  <c r="H53"/>
  <c r="H56"/>
  <c r="H59"/>
  <c r="H61"/>
  <c r="H65"/>
  <c r="H68"/>
  <c r="H69"/>
  <c r="H70"/>
  <c r="H74"/>
  <c r="H77"/>
  <c r="H78"/>
  <c r="H79"/>
  <c r="H83"/>
  <c r="H86"/>
  <c r="H87"/>
  <c r="I106"/>
  <c r="I105"/>
  <c r="I104"/>
  <c r="I101"/>
  <c r="I97"/>
  <c r="I96"/>
  <c r="I95"/>
  <c r="I92"/>
  <c r="I88"/>
  <c r="I87"/>
  <c r="I86"/>
  <c r="I83"/>
  <c r="I79"/>
  <c r="I78"/>
  <c r="I77"/>
  <c r="I74"/>
  <c r="I70"/>
  <c r="I69"/>
  <c r="I68"/>
  <c r="I65"/>
  <c r="I59"/>
  <c r="I56"/>
  <c r="I53"/>
  <c r="I50"/>
  <c r="I47"/>
  <c r="I44"/>
  <c r="I61"/>
  <c r="I38"/>
  <c r="I35"/>
  <c r="I29"/>
  <c r="I26"/>
  <c r="I23"/>
  <c r="I20"/>
  <c r="I17"/>
  <c r="I14"/>
  <c r="I31"/>
  <c r="I8"/>
  <c r="H8" i="1"/>
  <c r="H9"/>
  <c r="H30" s="1"/>
  <c r="H10"/>
  <c r="H14"/>
  <c r="H17"/>
  <c r="H20"/>
  <c r="H23"/>
  <c r="H26"/>
  <c r="H29"/>
  <c r="H31"/>
  <c r="H35"/>
  <c r="H38"/>
  <c r="H39"/>
  <c r="H40"/>
  <c r="H44"/>
  <c r="H47"/>
  <c r="H50"/>
  <c r="H53"/>
  <c r="H56"/>
  <c r="H59"/>
  <c r="I106"/>
  <c r="I105"/>
  <c r="I104"/>
  <c r="I101"/>
  <c r="I97"/>
  <c r="I96"/>
  <c r="I95"/>
  <c r="I92"/>
  <c r="I88"/>
  <c r="I87"/>
  <c r="I86"/>
  <c r="I83"/>
  <c r="I79"/>
  <c r="I78"/>
  <c r="I77"/>
  <c r="I74"/>
  <c r="I70"/>
  <c r="I69"/>
  <c r="I68"/>
  <c r="I65"/>
  <c r="I59"/>
  <c r="I56"/>
  <c r="I53"/>
  <c r="I50"/>
  <c r="I47"/>
  <c r="I44"/>
  <c r="I61"/>
  <c r="I60"/>
  <c r="I38"/>
  <c r="I35"/>
  <c r="I29"/>
  <c r="I26"/>
  <c r="I23"/>
  <c r="I20"/>
  <c r="I17"/>
  <c r="I14"/>
  <c r="I31"/>
  <c r="I30"/>
  <c r="I8"/>
  <c r="V15" i="16" l="1"/>
  <c r="S18" i="14"/>
  <c r="AE18"/>
  <c r="S60" i="10"/>
  <c r="Y60"/>
  <c r="W66" i="8"/>
  <c r="AI44"/>
  <c r="AH35" i="7"/>
  <c r="J98" i="2"/>
  <c r="J71" i="1"/>
  <c r="J89"/>
  <c r="I98"/>
  <c r="P98"/>
  <c r="V62"/>
  <c r="G14" i="13"/>
  <c r="G41"/>
  <c r="AB71" i="1"/>
  <c r="AY61" i="12"/>
  <c r="AY63" s="1"/>
  <c r="AY60"/>
  <c r="AY62" s="1"/>
  <c r="AX60"/>
  <c r="AX61"/>
  <c r="AX63" s="1"/>
  <c r="AB89" i="1"/>
  <c r="AB80"/>
  <c r="AB11"/>
  <c r="G23" i="13"/>
  <c r="W301" i="10"/>
  <c r="V89" i="1"/>
  <c r="V71"/>
  <c r="V62" i="2"/>
  <c r="AM60" i="12"/>
  <c r="AM62" s="1"/>
  <c r="AM61"/>
  <c r="AM63" s="1"/>
  <c r="AL60"/>
  <c r="AL62" s="1"/>
  <c r="AL61"/>
  <c r="AL63" s="1"/>
  <c r="P71" i="2"/>
  <c r="P71" i="1"/>
  <c r="Z60" i="12"/>
  <c r="Z62" s="1"/>
  <c r="Z61"/>
  <c r="Z63" s="1"/>
  <c r="P89" i="1"/>
  <c r="P89" i="2"/>
  <c r="P11" i="1"/>
  <c r="J80" i="2"/>
  <c r="O60" i="12"/>
  <c r="O62" s="1"/>
  <c r="O61"/>
  <c r="O63" s="1"/>
  <c r="N60"/>
  <c r="N62" s="1"/>
  <c r="N61"/>
  <c r="N63" s="1"/>
  <c r="J11" i="1"/>
  <c r="G53" i="13"/>
  <c r="I98" i="2"/>
  <c r="G20" i="13"/>
  <c r="G11"/>
  <c r="G27"/>
  <c r="I107" i="2"/>
  <c r="L15" i="16"/>
  <c r="K301" i="10"/>
  <c r="Q301"/>
  <c r="AX62" i="12"/>
  <c r="M63"/>
  <c r="L62"/>
  <c r="L63"/>
  <c r="M62"/>
  <c r="H41" i="2"/>
  <c r="G56" i="13"/>
  <c r="J41" i="2"/>
  <c r="V89"/>
  <c r="V98"/>
  <c r="H71"/>
  <c r="G38" i="13"/>
  <c r="J71" i="2"/>
  <c r="J89"/>
  <c r="P41"/>
  <c r="P80"/>
  <c r="P98"/>
  <c r="V71"/>
  <c r="V32"/>
  <c r="V11"/>
  <c r="V41"/>
  <c r="P32"/>
  <c r="P60"/>
  <c r="P62" s="1"/>
  <c r="P11"/>
  <c r="J32"/>
  <c r="J62"/>
  <c r="J11"/>
  <c r="G50" i="13"/>
  <c r="G44"/>
  <c r="I71" i="2"/>
  <c r="I89"/>
  <c r="G47" i="13"/>
  <c r="J41" i="1"/>
  <c r="I80"/>
  <c r="J80"/>
  <c r="V41"/>
  <c r="V80"/>
  <c r="V98"/>
  <c r="AB62"/>
  <c r="I107"/>
  <c r="H41"/>
  <c r="P80"/>
  <c r="AB98"/>
  <c r="AB32"/>
  <c r="AB41"/>
  <c r="V32"/>
  <c r="V11"/>
  <c r="P32"/>
  <c r="P62"/>
  <c r="J32"/>
  <c r="J62"/>
  <c r="G8" i="13"/>
  <c r="G26"/>
  <c r="G17"/>
  <c r="I62" i="1"/>
  <c r="H11"/>
  <c r="I32"/>
  <c r="I71"/>
  <c r="I89"/>
  <c r="I62" i="2"/>
  <c r="H80"/>
  <c r="H62"/>
  <c r="I32"/>
  <c r="I80"/>
  <c r="H32"/>
  <c r="H11"/>
  <c r="I11"/>
  <c r="I41"/>
  <c r="G57" i="13"/>
  <c r="H32" i="1"/>
  <c r="I11"/>
  <c r="I41"/>
  <c r="G28" i="13"/>
  <c r="G58"/>
  <c r="K59" i="12"/>
  <c r="J59"/>
  <c r="K58"/>
  <c r="J58"/>
  <c r="K57"/>
  <c r="J57"/>
  <c r="K56"/>
  <c r="J56"/>
  <c r="K53"/>
  <c r="J53"/>
  <c r="K52"/>
  <c r="J52"/>
  <c r="K45"/>
  <c r="J45"/>
  <c r="K44"/>
  <c r="J44"/>
  <c r="K37"/>
  <c r="J37"/>
  <c r="K36"/>
  <c r="J36"/>
  <c r="K29"/>
  <c r="J29"/>
  <c r="K28"/>
  <c r="J28"/>
  <c r="K21"/>
  <c r="J21"/>
  <c r="K20"/>
  <c r="J20"/>
  <c r="K13"/>
  <c r="K61" s="1"/>
  <c r="J13"/>
  <c r="J61" s="1"/>
  <c r="K12"/>
  <c r="K60" s="1"/>
  <c r="J12"/>
  <c r="J60" s="1"/>
  <c r="H106" i="2"/>
  <c r="H105"/>
  <c r="H104"/>
  <c r="H101"/>
  <c r="H97"/>
  <c r="H96"/>
  <c r="H95"/>
  <c r="H92"/>
  <c r="H88"/>
  <c r="H89" s="1"/>
  <c r="H106" i="1"/>
  <c r="H105"/>
  <c r="H104"/>
  <c r="H101"/>
  <c r="H97"/>
  <c r="H98" s="1"/>
  <c r="H96"/>
  <c r="H95"/>
  <c r="H92"/>
  <c r="H88"/>
  <c r="H89" s="1"/>
  <c r="H87"/>
  <c r="H86"/>
  <c r="H83"/>
  <c r="H79"/>
  <c r="H78"/>
  <c r="H77"/>
  <c r="H74"/>
  <c r="H70"/>
  <c r="H71" s="1"/>
  <c r="H69"/>
  <c r="H68"/>
  <c r="H65"/>
  <c r="H60"/>
  <c r="H61"/>
  <c r="L6"/>
  <c r="M6"/>
  <c r="N6"/>
  <c r="R6"/>
  <c r="S6"/>
  <c r="T6"/>
  <c r="X6"/>
  <c r="Y6"/>
  <c r="Z6"/>
  <c r="AD6"/>
  <c r="AE6"/>
  <c r="AF6"/>
  <c r="AJ6"/>
  <c r="L7"/>
  <c r="M7"/>
  <c r="N7"/>
  <c r="N8" s="1"/>
  <c r="R7"/>
  <c r="S7"/>
  <c r="T7"/>
  <c r="X7"/>
  <c r="Y7"/>
  <c r="Z7"/>
  <c r="AD7"/>
  <c r="AE7"/>
  <c r="AF7"/>
  <c r="AJ7"/>
  <c r="E8"/>
  <c r="F8"/>
  <c r="G8"/>
  <c r="L8"/>
  <c r="X8"/>
  <c r="AD8"/>
  <c r="AJ8"/>
  <c r="E9"/>
  <c r="F9"/>
  <c r="G9"/>
  <c r="L9"/>
  <c r="N9"/>
  <c r="R9"/>
  <c r="T9"/>
  <c r="X9"/>
  <c r="Z9"/>
  <c r="AE9"/>
  <c r="AF9"/>
  <c r="E10"/>
  <c r="E11" s="1"/>
  <c r="F10"/>
  <c r="G10"/>
  <c r="G11" s="1"/>
  <c r="L10"/>
  <c r="T10"/>
  <c r="S10"/>
  <c r="X10"/>
  <c r="Z10"/>
  <c r="AD10"/>
  <c r="AF10"/>
  <c r="AJ10"/>
  <c r="F11"/>
  <c r="L12"/>
  <c r="M12"/>
  <c r="N12"/>
  <c r="R12"/>
  <c r="S12"/>
  <c r="T12"/>
  <c r="X12"/>
  <c r="Y12"/>
  <c r="Z12"/>
  <c r="AD12"/>
  <c r="AE12"/>
  <c r="AF12"/>
  <c r="AJ12"/>
  <c r="L13"/>
  <c r="M13"/>
  <c r="N13"/>
  <c r="R13"/>
  <c r="S13"/>
  <c r="T13"/>
  <c r="X13"/>
  <c r="Y13"/>
  <c r="Z13"/>
  <c r="AD13"/>
  <c r="AE13"/>
  <c r="AF13"/>
  <c r="AJ13"/>
  <c r="E14"/>
  <c r="F14"/>
  <c r="G14"/>
  <c r="R14"/>
  <c r="L15"/>
  <c r="M15"/>
  <c r="N15"/>
  <c r="R15"/>
  <c r="S15"/>
  <c r="T15"/>
  <c r="X15"/>
  <c r="Y15"/>
  <c r="Z15"/>
  <c r="AD15"/>
  <c r="AE15"/>
  <c r="AF15"/>
  <c r="AJ15"/>
  <c r="L16"/>
  <c r="M16"/>
  <c r="N16"/>
  <c r="R16"/>
  <c r="S16"/>
  <c r="T16"/>
  <c r="X16"/>
  <c r="Y16"/>
  <c r="Z16"/>
  <c r="AD16"/>
  <c r="AE16"/>
  <c r="AF16"/>
  <c r="AJ16"/>
  <c r="E17"/>
  <c r="F17"/>
  <c r="G17"/>
  <c r="L17"/>
  <c r="R17"/>
  <c r="X17"/>
  <c r="AJ17"/>
  <c r="L18"/>
  <c r="M18"/>
  <c r="N18"/>
  <c r="R18"/>
  <c r="S18"/>
  <c r="T18"/>
  <c r="X18"/>
  <c r="Y18"/>
  <c r="Z18"/>
  <c r="AD18"/>
  <c r="AE18"/>
  <c r="AF18"/>
  <c r="AJ18"/>
  <c r="L19"/>
  <c r="M19"/>
  <c r="N19"/>
  <c r="R19"/>
  <c r="S19"/>
  <c r="T19"/>
  <c r="X19"/>
  <c r="Y19"/>
  <c r="Z19"/>
  <c r="AD19"/>
  <c r="AE19"/>
  <c r="AF19"/>
  <c r="AJ19"/>
  <c r="E20"/>
  <c r="F20"/>
  <c r="G20"/>
  <c r="R20"/>
  <c r="L21"/>
  <c r="M21"/>
  <c r="N21"/>
  <c r="R21"/>
  <c r="S21"/>
  <c r="T21"/>
  <c r="X21"/>
  <c r="Y21"/>
  <c r="Z21"/>
  <c r="AD21"/>
  <c r="AE21"/>
  <c r="AF21"/>
  <c r="AJ21"/>
  <c r="L22"/>
  <c r="M22"/>
  <c r="N22"/>
  <c r="R22"/>
  <c r="S22"/>
  <c r="T22"/>
  <c r="X22"/>
  <c r="Y22"/>
  <c r="Z22"/>
  <c r="AD22"/>
  <c r="AE22"/>
  <c r="AF22"/>
  <c r="AJ22"/>
  <c r="E23"/>
  <c r="F23"/>
  <c r="G23"/>
  <c r="L23"/>
  <c r="R23"/>
  <c r="X23"/>
  <c r="L24"/>
  <c r="M24"/>
  <c r="N24"/>
  <c r="R24"/>
  <c r="S24"/>
  <c r="T24"/>
  <c r="X24"/>
  <c r="Y24"/>
  <c r="Z24"/>
  <c r="AD24"/>
  <c r="AE24"/>
  <c r="AF24"/>
  <c r="AJ24"/>
  <c r="L25"/>
  <c r="M25"/>
  <c r="N25"/>
  <c r="R25"/>
  <c r="S25"/>
  <c r="T25"/>
  <c r="X25"/>
  <c r="Y25"/>
  <c r="Z25"/>
  <c r="AD25"/>
  <c r="AE25"/>
  <c r="AF25"/>
  <c r="AJ25"/>
  <c r="E26"/>
  <c r="F26"/>
  <c r="G26"/>
  <c r="R26"/>
  <c r="AD26"/>
  <c r="L27"/>
  <c r="M27"/>
  <c r="N27"/>
  <c r="R27"/>
  <c r="S27"/>
  <c r="T27"/>
  <c r="X27"/>
  <c r="Y27"/>
  <c r="Z27"/>
  <c r="AD27"/>
  <c r="AE27"/>
  <c r="AF27"/>
  <c r="AJ27"/>
  <c r="L28"/>
  <c r="M28"/>
  <c r="N28"/>
  <c r="R28"/>
  <c r="S28"/>
  <c r="T28"/>
  <c r="X28"/>
  <c r="Y28"/>
  <c r="Z28"/>
  <c r="AD28"/>
  <c r="AE28"/>
  <c r="AF28"/>
  <c r="AJ28"/>
  <c r="E29"/>
  <c r="F29"/>
  <c r="G29"/>
  <c r="L29"/>
  <c r="E30"/>
  <c r="F30"/>
  <c r="G30"/>
  <c r="L30"/>
  <c r="X30"/>
  <c r="E31"/>
  <c r="F31"/>
  <c r="G31"/>
  <c r="L31"/>
  <c r="AD31"/>
  <c r="AJ31"/>
  <c r="L33"/>
  <c r="M33"/>
  <c r="N33"/>
  <c r="R33"/>
  <c r="S33"/>
  <c r="T33"/>
  <c r="X33"/>
  <c r="Y33"/>
  <c r="Z33"/>
  <c r="AD33"/>
  <c r="AE33"/>
  <c r="AF33"/>
  <c r="AJ33"/>
  <c r="L34"/>
  <c r="M34"/>
  <c r="N34"/>
  <c r="R34"/>
  <c r="S34"/>
  <c r="T34"/>
  <c r="X34"/>
  <c r="Y34"/>
  <c r="Z34"/>
  <c r="AD34"/>
  <c r="AE34"/>
  <c r="AF34"/>
  <c r="AJ34"/>
  <c r="E35"/>
  <c r="F35"/>
  <c r="G35"/>
  <c r="L35"/>
  <c r="X35"/>
  <c r="L36"/>
  <c r="M36"/>
  <c r="N36"/>
  <c r="R36"/>
  <c r="S36"/>
  <c r="T36"/>
  <c r="X36"/>
  <c r="Y36"/>
  <c r="Z36"/>
  <c r="AD36"/>
  <c r="AE36"/>
  <c r="AF36"/>
  <c r="AJ36"/>
  <c r="L37"/>
  <c r="M37"/>
  <c r="N37"/>
  <c r="R37"/>
  <c r="S37"/>
  <c r="T37"/>
  <c r="X37"/>
  <c r="Y37"/>
  <c r="Z37"/>
  <c r="AD37"/>
  <c r="AE37"/>
  <c r="AF37"/>
  <c r="AJ37"/>
  <c r="E38"/>
  <c r="F38"/>
  <c r="G38"/>
  <c r="R38"/>
  <c r="AD38"/>
  <c r="E39"/>
  <c r="F39"/>
  <c r="G39"/>
  <c r="L39"/>
  <c r="T39"/>
  <c r="Z39"/>
  <c r="AF39"/>
  <c r="E40"/>
  <c r="E41" s="1"/>
  <c r="F40"/>
  <c r="F61" s="1"/>
  <c r="G40"/>
  <c r="Z40"/>
  <c r="L42"/>
  <c r="M42"/>
  <c r="N42"/>
  <c r="R42"/>
  <c r="S42"/>
  <c r="T42"/>
  <c r="X42"/>
  <c r="Y42"/>
  <c r="Z42"/>
  <c r="AD42"/>
  <c r="AE42"/>
  <c r="AF42"/>
  <c r="AJ42"/>
  <c r="L43"/>
  <c r="M43"/>
  <c r="N43"/>
  <c r="R43"/>
  <c r="S43"/>
  <c r="T43"/>
  <c r="X43"/>
  <c r="Y43"/>
  <c r="Z43"/>
  <c r="AD43"/>
  <c r="AE43"/>
  <c r="AF43"/>
  <c r="AJ43"/>
  <c r="E44"/>
  <c r="F44"/>
  <c r="G44"/>
  <c r="AD44"/>
  <c r="L45"/>
  <c r="M45"/>
  <c r="N45"/>
  <c r="R45"/>
  <c r="S45"/>
  <c r="T45"/>
  <c r="X45"/>
  <c r="Y45"/>
  <c r="Z45"/>
  <c r="AD45"/>
  <c r="AE45"/>
  <c r="AF45"/>
  <c r="AJ45"/>
  <c r="L46"/>
  <c r="M46"/>
  <c r="N46"/>
  <c r="R46"/>
  <c r="S46"/>
  <c r="T46"/>
  <c r="X46"/>
  <c r="Y46"/>
  <c r="Z46"/>
  <c r="Z47" s="1"/>
  <c r="AD46"/>
  <c r="AE46"/>
  <c r="AF46"/>
  <c r="AJ46"/>
  <c r="E47"/>
  <c r="F47"/>
  <c r="G47"/>
  <c r="AJ47"/>
  <c r="L48"/>
  <c r="M48"/>
  <c r="N48"/>
  <c r="R48"/>
  <c r="S48"/>
  <c r="T48"/>
  <c r="X48"/>
  <c r="Y48"/>
  <c r="Z48"/>
  <c r="AD48"/>
  <c r="AE48"/>
  <c r="AF48"/>
  <c r="AG48" s="1"/>
  <c r="AJ48"/>
  <c r="L49"/>
  <c r="M49"/>
  <c r="N49"/>
  <c r="R49"/>
  <c r="S49"/>
  <c r="T49"/>
  <c r="X49"/>
  <c r="Y49"/>
  <c r="Z49"/>
  <c r="AD49"/>
  <c r="AE49"/>
  <c r="AF49"/>
  <c r="AJ49"/>
  <c r="E50"/>
  <c r="F50"/>
  <c r="G50"/>
  <c r="L50"/>
  <c r="R50"/>
  <c r="X50"/>
  <c r="AJ50"/>
  <c r="L51"/>
  <c r="M51"/>
  <c r="N51"/>
  <c r="R51"/>
  <c r="S51"/>
  <c r="T51"/>
  <c r="X51"/>
  <c r="Y51"/>
  <c r="Z51"/>
  <c r="AD51"/>
  <c r="AE51"/>
  <c r="AF51"/>
  <c r="AJ51"/>
  <c r="L52"/>
  <c r="M52"/>
  <c r="N52"/>
  <c r="R52"/>
  <c r="S52"/>
  <c r="T52"/>
  <c r="X52"/>
  <c r="Y52"/>
  <c r="Z52"/>
  <c r="AD52"/>
  <c r="AE52"/>
  <c r="AF52"/>
  <c r="AJ52"/>
  <c r="E53"/>
  <c r="F53"/>
  <c r="G53"/>
  <c r="AD53"/>
  <c r="L54"/>
  <c r="M54"/>
  <c r="N54"/>
  <c r="R54"/>
  <c r="S54"/>
  <c r="T54"/>
  <c r="X54"/>
  <c r="Y54"/>
  <c r="Z54"/>
  <c r="AD54"/>
  <c r="AE54"/>
  <c r="AF54"/>
  <c r="AJ54"/>
  <c r="L55"/>
  <c r="M55"/>
  <c r="N55"/>
  <c r="R55"/>
  <c r="S55"/>
  <c r="T55"/>
  <c r="X55"/>
  <c r="Y55"/>
  <c r="Z55"/>
  <c r="AD55"/>
  <c r="AE55"/>
  <c r="AF55"/>
  <c r="AJ55"/>
  <c r="E56"/>
  <c r="F56"/>
  <c r="G56"/>
  <c r="X56"/>
  <c r="AJ56"/>
  <c r="L57"/>
  <c r="M57"/>
  <c r="N57"/>
  <c r="R57"/>
  <c r="S57"/>
  <c r="T57"/>
  <c r="X57"/>
  <c r="Y57"/>
  <c r="Z57"/>
  <c r="AD57"/>
  <c r="AE57"/>
  <c r="AF57"/>
  <c r="AJ57"/>
  <c r="L58"/>
  <c r="M58"/>
  <c r="N58"/>
  <c r="R58"/>
  <c r="S58"/>
  <c r="T58"/>
  <c r="X58"/>
  <c r="Y58"/>
  <c r="Z58"/>
  <c r="AD58"/>
  <c r="AE58"/>
  <c r="AF58"/>
  <c r="AF59" s="1"/>
  <c r="AJ58"/>
  <c r="E59"/>
  <c r="F59"/>
  <c r="G59"/>
  <c r="X59"/>
  <c r="AD59"/>
  <c r="AJ59"/>
  <c r="E60"/>
  <c r="F60"/>
  <c r="G60"/>
  <c r="R60"/>
  <c r="AJ60"/>
  <c r="L63"/>
  <c r="M63"/>
  <c r="N63"/>
  <c r="R63"/>
  <c r="S63"/>
  <c r="T63"/>
  <c r="X63"/>
  <c r="Y63"/>
  <c r="Z63"/>
  <c r="AD63"/>
  <c r="AE63"/>
  <c r="AF63"/>
  <c r="AJ63"/>
  <c r="L64"/>
  <c r="M64"/>
  <c r="N64"/>
  <c r="R64"/>
  <c r="S64"/>
  <c r="T64"/>
  <c r="X64"/>
  <c r="Y64"/>
  <c r="Z64"/>
  <c r="AD64"/>
  <c r="AE64"/>
  <c r="AF64"/>
  <c r="AJ64"/>
  <c r="E65"/>
  <c r="F65"/>
  <c r="G65"/>
  <c r="L65"/>
  <c r="X65"/>
  <c r="AJ65"/>
  <c r="L66"/>
  <c r="M66"/>
  <c r="N66"/>
  <c r="R66"/>
  <c r="S66"/>
  <c r="T66"/>
  <c r="X66"/>
  <c r="Y66"/>
  <c r="Z66"/>
  <c r="AD66"/>
  <c r="AE66"/>
  <c r="AF66"/>
  <c r="AJ66"/>
  <c r="L67"/>
  <c r="M67"/>
  <c r="N67"/>
  <c r="R67"/>
  <c r="S67"/>
  <c r="T67"/>
  <c r="X67"/>
  <c r="Y67"/>
  <c r="Z67"/>
  <c r="AD67"/>
  <c r="AE67"/>
  <c r="AF67"/>
  <c r="AJ67"/>
  <c r="E68"/>
  <c r="F68"/>
  <c r="G68"/>
  <c r="L68"/>
  <c r="X68"/>
  <c r="E69"/>
  <c r="F69"/>
  <c r="G69"/>
  <c r="L69"/>
  <c r="AJ69"/>
  <c r="E70"/>
  <c r="F70"/>
  <c r="G70"/>
  <c r="L70"/>
  <c r="R70"/>
  <c r="X70"/>
  <c r="L72"/>
  <c r="M72"/>
  <c r="N72"/>
  <c r="R72"/>
  <c r="S72"/>
  <c r="T72"/>
  <c r="X72"/>
  <c r="Y72"/>
  <c r="Z72"/>
  <c r="AD72"/>
  <c r="AE72"/>
  <c r="AF72"/>
  <c r="AJ72"/>
  <c r="L73"/>
  <c r="M73"/>
  <c r="M70" s="1"/>
  <c r="N73"/>
  <c r="R73"/>
  <c r="S73"/>
  <c r="T73"/>
  <c r="X73"/>
  <c r="Y73"/>
  <c r="Z73"/>
  <c r="AD73"/>
  <c r="AE73"/>
  <c r="AF73"/>
  <c r="AJ73"/>
  <c r="E74"/>
  <c r="F74"/>
  <c r="G74"/>
  <c r="X74"/>
  <c r="AD74"/>
  <c r="L75"/>
  <c r="M75"/>
  <c r="N75"/>
  <c r="R75"/>
  <c r="S75"/>
  <c r="T75"/>
  <c r="X75"/>
  <c r="Y75"/>
  <c r="Z75"/>
  <c r="AD75"/>
  <c r="AE75"/>
  <c r="AF75"/>
  <c r="AJ75"/>
  <c r="L76"/>
  <c r="M76"/>
  <c r="N76"/>
  <c r="R76"/>
  <c r="S76"/>
  <c r="T76"/>
  <c r="X76"/>
  <c r="Y76"/>
  <c r="Z76"/>
  <c r="AD76"/>
  <c r="AE76"/>
  <c r="AF76"/>
  <c r="AF77" s="1"/>
  <c r="AJ76"/>
  <c r="E77"/>
  <c r="F77"/>
  <c r="G77"/>
  <c r="L77"/>
  <c r="R77"/>
  <c r="E78"/>
  <c r="F78"/>
  <c r="G78"/>
  <c r="L78"/>
  <c r="X78"/>
  <c r="E79"/>
  <c r="F79"/>
  <c r="G79"/>
  <c r="G80" s="1"/>
  <c r="L79"/>
  <c r="AJ79"/>
  <c r="L81"/>
  <c r="M81"/>
  <c r="N81"/>
  <c r="R81"/>
  <c r="S81"/>
  <c r="T81"/>
  <c r="X81"/>
  <c r="Y81"/>
  <c r="Z81"/>
  <c r="AD81"/>
  <c r="AE81"/>
  <c r="AF81"/>
  <c r="AJ81"/>
  <c r="L82"/>
  <c r="M82"/>
  <c r="M79" s="1"/>
  <c r="N82"/>
  <c r="R82"/>
  <c r="S82"/>
  <c r="T82"/>
  <c r="X82"/>
  <c r="Y82"/>
  <c r="Z82"/>
  <c r="AD82"/>
  <c r="AE82"/>
  <c r="AF82"/>
  <c r="AJ82"/>
  <c r="E83"/>
  <c r="F83"/>
  <c r="G83"/>
  <c r="L83"/>
  <c r="R83"/>
  <c r="L84"/>
  <c r="M84"/>
  <c r="N84"/>
  <c r="R84"/>
  <c r="S84"/>
  <c r="T84"/>
  <c r="X84"/>
  <c r="Y84"/>
  <c r="Z84"/>
  <c r="AD84"/>
  <c r="AE84"/>
  <c r="AF84"/>
  <c r="AJ84"/>
  <c r="L85"/>
  <c r="M85"/>
  <c r="N85"/>
  <c r="R85"/>
  <c r="S85"/>
  <c r="T85"/>
  <c r="X85"/>
  <c r="Y85"/>
  <c r="Z85"/>
  <c r="AD85"/>
  <c r="AE85"/>
  <c r="AF85"/>
  <c r="AJ85"/>
  <c r="E86"/>
  <c r="F86"/>
  <c r="G86"/>
  <c r="X86"/>
  <c r="AJ86"/>
  <c r="E87"/>
  <c r="F87"/>
  <c r="G87"/>
  <c r="L87"/>
  <c r="X87"/>
  <c r="AD87"/>
  <c r="AJ87"/>
  <c r="E88"/>
  <c r="F88"/>
  <c r="G88"/>
  <c r="G89" s="1"/>
  <c r="X88"/>
  <c r="AD88"/>
  <c r="AJ88"/>
  <c r="L90"/>
  <c r="M90"/>
  <c r="N90"/>
  <c r="R90"/>
  <c r="S90"/>
  <c r="T90"/>
  <c r="X90"/>
  <c r="Y90"/>
  <c r="Z90"/>
  <c r="AD90"/>
  <c r="AE90"/>
  <c r="AE87" s="1"/>
  <c r="AF90"/>
  <c r="AF87" s="1"/>
  <c r="AJ90"/>
  <c r="L91"/>
  <c r="M91"/>
  <c r="N91"/>
  <c r="N92" s="1"/>
  <c r="R91"/>
  <c r="S91"/>
  <c r="S88" s="1"/>
  <c r="T91"/>
  <c r="X91"/>
  <c r="Y91"/>
  <c r="Y88" s="1"/>
  <c r="Z91"/>
  <c r="Z88" s="1"/>
  <c r="AD91"/>
  <c r="AE91"/>
  <c r="AF91"/>
  <c r="AF88" s="1"/>
  <c r="AJ91"/>
  <c r="E92"/>
  <c r="F92"/>
  <c r="G92"/>
  <c r="X92"/>
  <c r="AJ92"/>
  <c r="L93"/>
  <c r="M93"/>
  <c r="N93"/>
  <c r="R93"/>
  <c r="S93"/>
  <c r="T93"/>
  <c r="X93"/>
  <c r="Y93"/>
  <c r="Z93"/>
  <c r="AD93"/>
  <c r="AE93"/>
  <c r="AF93"/>
  <c r="AJ93"/>
  <c r="L94"/>
  <c r="M94"/>
  <c r="N94"/>
  <c r="R94"/>
  <c r="S94"/>
  <c r="T94"/>
  <c r="X94"/>
  <c r="Y94"/>
  <c r="Z94"/>
  <c r="AD94"/>
  <c r="AE94"/>
  <c r="AF94"/>
  <c r="AJ94"/>
  <c r="E95"/>
  <c r="F95"/>
  <c r="G95"/>
  <c r="AJ95"/>
  <c r="E96"/>
  <c r="F96"/>
  <c r="G96"/>
  <c r="L96"/>
  <c r="R96"/>
  <c r="AJ96"/>
  <c r="E97"/>
  <c r="F97"/>
  <c r="F98" s="1"/>
  <c r="G97"/>
  <c r="G98" s="1"/>
  <c r="X97"/>
  <c r="AJ98"/>
  <c r="L99"/>
  <c r="M99"/>
  <c r="N99"/>
  <c r="R99"/>
  <c r="S99"/>
  <c r="T99"/>
  <c r="X99"/>
  <c r="Y99"/>
  <c r="Z99"/>
  <c r="AD99"/>
  <c r="AE99"/>
  <c r="AF99"/>
  <c r="AJ99"/>
  <c r="L100"/>
  <c r="M100"/>
  <c r="N100"/>
  <c r="R100"/>
  <c r="S100"/>
  <c r="T100"/>
  <c r="X100"/>
  <c r="Y100"/>
  <c r="Z100"/>
  <c r="AD100"/>
  <c r="AE100"/>
  <c r="AF100"/>
  <c r="AF101" s="1"/>
  <c r="AJ100"/>
  <c r="E101"/>
  <c r="F101"/>
  <c r="G101"/>
  <c r="R101"/>
  <c r="L102"/>
  <c r="M102"/>
  <c r="N102"/>
  <c r="R102"/>
  <c r="S102"/>
  <c r="T102"/>
  <c r="X102"/>
  <c r="Y102"/>
  <c r="Z102"/>
  <c r="AD102"/>
  <c r="AE102"/>
  <c r="AF102"/>
  <c r="AJ102"/>
  <c r="L103"/>
  <c r="M103"/>
  <c r="N103"/>
  <c r="R103"/>
  <c r="S103"/>
  <c r="S104" s="1"/>
  <c r="T103"/>
  <c r="X103"/>
  <c r="Y103"/>
  <c r="Z103"/>
  <c r="AD103"/>
  <c r="AE103"/>
  <c r="AF103"/>
  <c r="AJ103"/>
  <c r="E104"/>
  <c r="F104"/>
  <c r="G104"/>
  <c r="R104"/>
  <c r="X104"/>
  <c r="E105"/>
  <c r="F105"/>
  <c r="G105"/>
  <c r="J105"/>
  <c r="K105"/>
  <c r="P105"/>
  <c r="Q105"/>
  <c r="V105"/>
  <c r="AB105"/>
  <c r="E106"/>
  <c r="F106"/>
  <c r="F107" s="1"/>
  <c r="G106"/>
  <c r="J106"/>
  <c r="K106"/>
  <c r="P106"/>
  <c r="Q106"/>
  <c r="V106"/>
  <c r="AB106"/>
  <c r="E107" l="1"/>
  <c r="AF8"/>
  <c r="E71"/>
  <c r="AF95"/>
  <c r="Z69"/>
  <c r="AE70"/>
  <c r="AF20"/>
  <c r="AG93"/>
  <c r="AF105"/>
  <c r="Z29"/>
  <c r="Z8"/>
  <c r="AF17"/>
  <c r="Z104"/>
  <c r="Z35"/>
  <c r="T17"/>
  <c r="AA103"/>
  <c r="U82"/>
  <c r="S77"/>
  <c r="T77"/>
  <c r="T56"/>
  <c r="T50"/>
  <c r="Q107"/>
  <c r="T23"/>
  <c r="U73"/>
  <c r="S83"/>
  <c r="S106"/>
  <c r="U7"/>
  <c r="N65"/>
  <c r="N35"/>
  <c r="J107"/>
  <c r="O76"/>
  <c r="M69"/>
  <c r="M71" s="1"/>
  <c r="L106"/>
  <c r="L105"/>
  <c r="G29" i="13"/>
  <c r="K63" i="12"/>
  <c r="G59" i="13"/>
  <c r="F80" i="1"/>
  <c r="U48"/>
  <c r="F41"/>
  <c r="U18"/>
  <c r="U12"/>
  <c r="F62"/>
  <c r="U58"/>
  <c r="O103"/>
  <c r="Y97"/>
  <c r="U94"/>
  <c r="F89"/>
  <c r="Y79"/>
  <c r="E61"/>
  <c r="E62" s="1"/>
  <c r="E32"/>
  <c r="G32"/>
  <c r="AJ106"/>
  <c r="S97"/>
  <c r="E98"/>
  <c r="E80"/>
  <c r="N56"/>
  <c r="N53"/>
  <c r="N68"/>
  <c r="N38"/>
  <c r="O33"/>
  <c r="R106"/>
  <c r="N96"/>
  <c r="N87"/>
  <c r="O84"/>
  <c r="O21"/>
  <c r="T8"/>
  <c r="O15"/>
  <c r="U54"/>
  <c r="T29"/>
  <c r="U6"/>
  <c r="T104"/>
  <c r="U66"/>
  <c r="U57"/>
  <c r="U51"/>
  <c r="AD106"/>
  <c r="Z86"/>
  <c r="Z59"/>
  <c r="AA21"/>
  <c r="Z11"/>
  <c r="AA102"/>
  <c r="AG66"/>
  <c r="AA33"/>
  <c r="AG57"/>
  <c r="Z44"/>
  <c r="Z95"/>
  <c r="AA15"/>
  <c r="AF86"/>
  <c r="AG75"/>
  <c r="AF104"/>
  <c r="AF14"/>
  <c r="AF53"/>
  <c r="AF23"/>
  <c r="AG82"/>
  <c r="AG67"/>
  <c r="AA81"/>
  <c r="AE86"/>
  <c r="AG9"/>
  <c r="AA99"/>
  <c r="AE38"/>
  <c r="AG7"/>
  <c r="AA85"/>
  <c r="V107"/>
  <c r="X107" s="1"/>
  <c r="U99"/>
  <c r="X106"/>
  <c r="O85"/>
  <c r="U81"/>
  <c r="S44"/>
  <c r="O48"/>
  <c r="O28"/>
  <c r="M77"/>
  <c r="Z50"/>
  <c r="AA48"/>
  <c r="AG37"/>
  <c r="AF38"/>
  <c r="Y40"/>
  <c r="Y61" s="1"/>
  <c r="AJ104"/>
  <c r="X95"/>
  <c r="L86"/>
  <c r="AF83"/>
  <c r="R62"/>
  <c r="S31"/>
  <c r="AF30"/>
  <c r="X32"/>
  <c r="O81"/>
  <c r="N105"/>
  <c r="L61"/>
  <c r="L62"/>
  <c r="U43"/>
  <c r="T44"/>
  <c r="O24"/>
  <c r="N30"/>
  <c r="AA22"/>
  <c r="Z23"/>
  <c r="T40"/>
  <c r="T41" s="1"/>
  <c r="G41"/>
  <c r="G61"/>
  <c r="AD101"/>
  <c r="T101"/>
  <c r="M97"/>
  <c r="AD95"/>
  <c r="Y92"/>
  <c r="AJ89"/>
  <c r="E89"/>
  <c r="R86"/>
  <c r="X71"/>
  <c r="AE106"/>
  <c r="AE79"/>
  <c r="AE83"/>
  <c r="AA16"/>
  <c r="Z17"/>
  <c r="AE97"/>
  <c r="R97"/>
  <c r="U93"/>
  <c r="T86"/>
  <c r="Z60"/>
  <c r="AJ23"/>
  <c r="T105"/>
  <c r="AD65"/>
  <c r="AJ53"/>
  <c r="Z53"/>
  <c r="O49"/>
  <c r="Y47"/>
  <c r="AA47" s="1"/>
  <c r="X31"/>
  <c r="AG24"/>
  <c r="N20"/>
  <c r="O12"/>
  <c r="AF11"/>
  <c r="H62"/>
  <c r="H80"/>
  <c r="L95"/>
  <c r="AG94"/>
  <c r="N95"/>
  <c r="T88"/>
  <c r="M88"/>
  <c r="Z87"/>
  <c r="S87"/>
  <c r="S89" s="1"/>
  <c r="R89"/>
  <c r="AJ83"/>
  <c r="T83"/>
  <c r="AG81"/>
  <c r="R80"/>
  <c r="AD78"/>
  <c r="R78"/>
  <c r="AJ77"/>
  <c r="X77"/>
  <c r="U75"/>
  <c r="AJ74"/>
  <c r="L74"/>
  <c r="AG73"/>
  <c r="Y70"/>
  <c r="N69"/>
  <c r="O69" s="1"/>
  <c r="G71"/>
  <c r="X69"/>
  <c r="AD68"/>
  <c r="Z68"/>
  <c r="L59"/>
  <c r="AG58"/>
  <c r="N59"/>
  <c r="AF50"/>
  <c r="AG43"/>
  <c r="AE44"/>
  <c r="N44"/>
  <c r="N40"/>
  <c r="S39"/>
  <c r="S60" s="1"/>
  <c r="U37"/>
  <c r="Z38"/>
  <c r="S38"/>
  <c r="T30"/>
  <c r="F32"/>
  <c r="AA28"/>
  <c r="AF29"/>
  <c r="AA24"/>
  <c r="O22"/>
  <c r="AG18"/>
  <c r="O16"/>
  <c r="AG12"/>
  <c r="AA76"/>
  <c r="Y77"/>
  <c r="AJ70"/>
  <c r="AJ68"/>
  <c r="R65"/>
  <c r="AJ61"/>
  <c r="R61"/>
  <c r="U52"/>
  <c r="AD50"/>
  <c r="AA46"/>
  <c r="AF47"/>
  <c r="Z30"/>
  <c r="AJ105"/>
  <c r="AD105"/>
  <c r="G107"/>
  <c r="L104"/>
  <c r="AE104"/>
  <c r="AG104" s="1"/>
  <c r="U104"/>
  <c r="O102"/>
  <c r="AG99"/>
  <c r="L97"/>
  <c r="X98"/>
  <c r="AD92"/>
  <c r="R92"/>
  <c r="L92"/>
  <c r="AE88"/>
  <c r="N88"/>
  <c r="T87"/>
  <c r="M92"/>
  <c r="O92" s="1"/>
  <c r="L89"/>
  <c r="S86"/>
  <c r="U86" s="1"/>
  <c r="AA84"/>
  <c r="AD80"/>
  <c r="AD77"/>
  <c r="R74"/>
  <c r="S70"/>
  <c r="AF69"/>
  <c r="Y69"/>
  <c r="AJ71"/>
  <c r="R69"/>
  <c r="F71"/>
  <c r="Z65"/>
  <c r="AF60"/>
  <c r="AD62"/>
  <c r="AD56"/>
  <c r="R56"/>
  <c r="L56"/>
  <c r="O55"/>
  <c r="M56"/>
  <c r="O56" s="1"/>
  <c r="X53"/>
  <c r="L53"/>
  <c r="AG52"/>
  <c r="AG51"/>
  <c r="AA49"/>
  <c r="Y50"/>
  <c r="M50"/>
  <c r="X47"/>
  <c r="L47"/>
  <c r="O46"/>
  <c r="T47"/>
  <c r="M47"/>
  <c r="R44"/>
  <c r="M40"/>
  <c r="O40" s="1"/>
  <c r="AE39"/>
  <c r="AG39" s="1"/>
  <c r="AJ35"/>
  <c r="AD30"/>
  <c r="AJ29"/>
  <c r="X29"/>
  <c r="R29"/>
  <c r="U24"/>
  <c r="AD20"/>
  <c r="T20"/>
  <c r="AA18"/>
  <c r="AD14"/>
  <c r="T14"/>
  <c r="AA12"/>
  <c r="H107"/>
  <c r="AJ80"/>
  <c r="X80"/>
  <c r="AE56"/>
  <c r="AG54"/>
  <c r="AJ107"/>
  <c r="AB107"/>
  <c r="AD107" s="1"/>
  <c r="K107"/>
  <c r="AF106"/>
  <c r="Y106"/>
  <c r="T106"/>
  <c r="M106"/>
  <c r="R105"/>
  <c r="AG103"/>
  <c r="AG102"/>
  <c r="X101"/>
  <c r="N101"/>
  <c r="Z106"/>
  <c r="AE96"/>
  <c r="Y101"/>
  <c r="S96"/>
  <c r="S98" s="1"/>
  <c r="M101"/>
  <c r="L98"/>
  <c r="AJ97"/>
  <c r="AD97"/>
  <c r="AF96"/>
  <c r="X96"/>
  <c r="T95"/>
  <c r="AA94"/>
  <c r="S95"/>
  <c r="AA93"/>
  <c r="X89"/>
  <c r="AD86"/>
  <c r="N86"/>
  <c r="U85"/>
  <c r="U84"/>
  <c r="AD83"/>
  <c r="AA82"/>
  <c r="S79"/>
  <c r="AE78"/>
  <c r="S78"/>
  <c r="L80"/>
  <c r="AD79"/>
  <c r="AJ78"/>
  <c r="U76"/>
  <c r="N74"/>
  <c r="AG72"/>
  <c r="AA72"/>
  <c r="U72"/>
  <c r="O72"/>
  <c r="L71"/>
  <c r="T69"/>
  <c r="AF68"/>
  <c r="AE65"/>
  <c r="S65"/>
  <c r="U67"/>
  <c r="T68"/>
  <c r="AA55"/>
  <c r="Z56"/>
  <c r="Y56"/>
  <c r="AA54"/>
  <c r="AA40"/>
  <c r="Z41"/>
  <c r="U39"/>
  <c r="T60"/>
  <c r="X105"/>
  <c r="Z96"/>
  <c r="T96"/>
  <c r="Z92"/>
  <c r="AA92" s="1"/>
  <c r="AG90"/>
  <c r="AA90"/>
  <c r="U90"/>
  <c r="O90"/>
  <c r="L88"/>
  <c r="X79"/>
  <c r="R79"/>
  <c r="AF78"/>
  <c r="Z78"/>
  <c r="T78"/>
  <c r="N78"/>
  <c r="AE77"/>
  <c r="AG77" s="1"/>
  <c r="AA75"/>
  <c r="O75"/>
  <c r="AF74"/>
  <c r="L60"/>
  <c r="U10"/>
  <c r="T11"/>
  <c r="P107"/>
  <c r="R107" s="1"/>
  <c r="Z105"/>
  <c r="AD104"/>
  <c r="N104"/>
  <c r="U103"/>
  <c r="U102"/>
  <c r="AJ101"/>
  <c r="Z101"/>
  <c r="AA101" s="1"/>
  <c r="L101"/>
  <c r="N106"/>
  <c r="O99"/>
  <c r="R98"/>
  <c r="AD96"/>
  <c r="R95"/>
  <c r="AE95"/>
  <c r="O94"/>
  <c r="O93"/>
  <c r="AD89"/>
  <c r="R88"/>
  <c r="R87"/>
  <c r="AG85"/>
  <c r="AG84"/>
  <c r="X83"/>
  <c r="O82"/>
  <c r="T79"/>
  <c r="AG76"/>
  <c r="T74"/>
  <c r="Z74"/>
  <c r="AE74"/>
  <c r="S74"/>
  <c r="R71"/>
  <c r="AG63"/>
  <c r="AA63"/>
  <c r="U63"/>
  <c r="O63"/>
  <c r="X60"/>
  <c r="X62"/>
  <c r="AD98"/>
  <c r="O54"/>
  <c r="N50"/>
  <c r="AE50"/>
  <c r="S50"/>
  <c r="N47"/>
  <c r="AF44"/>
  <c r="AF40"/>
  <c r="AF61" s="1"/>
  <c r="N39"/>
  <c r="T38"/>
  <c r="N10"/>
  <c r="N11" s="1"/>
  <c r="AJ9"/>
  <c r="AG6"/>
  <c r="AD69"/>
  <c r="R68"/>
  <c r="AE68"/>
  <c r="O67"/>
  <c r="AD60"/>
  <c r="G62"/>
  <c r="R59"/>
  <c r="AE59"/>
  <c r="AG59" s="1"/>
  <c r="O58"/>
  <c r="O57"/>
  <c r="AF56"/>
  <c r="T53"/>
  <c r="AA52"/>
  <c r="S53"/>
  <c r="AA51"/>
  <c r="R47"/>
  <c r="U46"/>
  <c r="S47"/>
  <c r="U47" s="1"/>
  <c r="AJ44"/>
  <c r="L44"/>
  <c r="O43"/>
  <c r="M44"/>
  <c r="AD41"/>
  <c r="AE40"/>
  <c r="AE41" s="1"/>
  <c r="L40"/>
  <c r="M39"/>
  <c r="M41" s="1"/>
  <c r="X38"/>
  <c r="AA37"/>
  <c r="Y38"/>
  <c r="AA38" s="1"/>
  <c r="AF35"/>
  <c r="R35"/>
  <c r="U34"/>
  <c r="U33"/>
  <c r="R31"/>
  <c r="AJ30"/>
  <c r="R30"/>
  <c r="AG28"/>
  <c r="X26"/>
  <c r="N26"/>
  <c r="AA25"/>
  <c r="AE26"/>
  <c r="Y26"/>
  <c r="S26"/>
  <c r="M26"/>
  <c r="AD23"/>
  <c r="N23"/>
  <c r="U22"/>
  <c r="U21"/>
  <c r="AJ20"/>
  <c r="Z20"/>
  <c r="L20"/>
  <c r="O19"/>
  <c r="O18"/>
  <c r="AG16"/>
  <c r="AG15"/>
  <c r="X14"/>
  <c r="N14"/>
  <c r="AA13"/>
  <c r="AE14"/>
  <c r="Y14"/>
  <c r="S14"/>
  <c r="M14"/>
  <c r="AJ11"/>
  <c r="AD11"/>
  <c r="X11"/>
  <c r="R10"/>
  <c r="AA7"/>
  <c r="AA6"/>
  <c r="S56"/>
  <c r="X41"/>
  <c r="AJ32"/>
  <c r="AD70"/>
  <c r="AA67"/>
  <c r="S68"/>
  <c r="M61"/>
  <c r="T59"/>
  <c r="AA58"/>
  <c r="S59"/>
  <c r="AA57"/>
  <c r="R53"/>
  <c r="AE53"/>
  <c r="AG53" s="1"/>
  <c r="O52"/>
  <c r="O51"/>
  <c r="AD47"/>
  <c r="AG46"/>
  <c r="AE47"/>
  <c r="AG47" s="1"/>
  <c r="X44"/>
  <c r="AA43"/>
  <c r="Y44"/>
  <c r="AA44" s="1"/>
  <c r="S40"/>
  <c r="Y39"/>
  <c r="Y41" s="1"/>
  <c r="AJ38"/>
  <c r="L38"/>
  <c r="O37"/>
  <c r="M38"/>
  <c r="O38" s="1"/>
  <c r="AD35"/>
  <c r="T35"/>
  <c r="AG34"/>
  <c r="AG33"/>
  <c r="AD29"/>
  <c r="N29"/>
  <c r="U28"/>
  <c r="AJ26"/>
  <c r="Z26"/>
  <c r="L26"/>
  <c r="O25"/>
  <c r="AG22"/>
  <c r="AG21"/>
  <c r="X20"/>
  <c r="AA19"/>
  <c r="AE20"/>
  <c r="Y20"/>
  <c r="S20"/>
  <c r="M20"/>
  <c r="AD17"/>
  <c r="N17"/>
  <c r="U16"/>
  <c r="U15"/>
  <c r="AJ14"/>
  <c r="Z14"/>
  <c r="L14"/>
  <c r="O13"/>
  <c r="R11"/>
  <c r="L11"/>
  <c r="AE10"/>
  <c r="AE11" s="1"/>
  <c r="AG11" s="1"/>
  <c r="AD9"/>
  <c r="S9"/>
  <c r="U9" s="1"/>
  <c r="R8"/>
  <c r="O7"/>
  <c r="O6"/>
  <c r="H98" i="2"/>
  <c r="H107"/>
  <c r="J62" i="12"/>
  <c r="J63"/>
  <c r="K62"/>
  <c r="T89" i="1"/>
  <c r="U88"/>
  <c r="AE89"/>
  <c r="Z107"/>
  <c r="AG88"/>
  <c r="AF89"/>
  <c r="AG96"/>
  <c r="AA88"/>
  <c r="Z89"/>
  <c r="AG87"/>
  <c r="U87"/>
  <c r="Z61"/>
  <c r="AA64"/>
  <c r="T97"/>
  <c r="Y105"/>
  <c r="M105"/>
  <c r="Y104"/>
  <c r="M104"/>
  <c r="AE101"/>
  <c r="AG101" s="1"/>
  <c r="S101"/>
  <c r="AG100"/>
  <c r="AA100"/>
  <c r="U100"/>
  <c r="O100"/>
  <c r="Y96"/>
  <c r="M96"/>
  <c r="Y95"/>
  <c r="M95"/>
  <c r="O95" s="1"/>
  <c r="AE92"/>
  <c r="S92"/>
  <c r="AG91"/>
  <c r="AA91"/>
  <c r="U91"/>
  <c r="O91"/>
  <c r="Y87"/>
  <c r="AA87" s="1"/>
  <c r="M87"/>
  <c r="O87" s="1"/>
  <c r="Y86"/>
  <c r="AA86" s="1"/>
  <c r="M86"/>
  <c r="O86" s="1"/>
  <c r="AG83"/>
  <c r="N83"/>
  <c r="AF79"/>
  <c r="Z79"/>
  <c r="N79"/>
  <c r="AG78"/>
  <c r="Z77"/>
  <c r="N77"/>
  <c r="O77" s="1"/>
  <c r="AD71"/>
  <c r="AF70"/>
  <c r="Y78"/>
  <c r="Y83"/>
  <c r="M78"/>
  <c r="M83"/>
  <c r="Z70"/>
  <c r="AA73"/>
  <c r="O66"/>
  <c r="M68"/>
  <c r="T65"/>
  <c r="U65" s="1"/>
  <c r="U64"/>
  <c r="Z97"/>
  <c r="N97"/>
  <c r="AF92"/>
  <c r="T92"/>
  <c r="N61"/>
  <c r="O64"/>
  <c r="AF97"/>
  <c r="AE105"/>
  <c r="S105"/>
  <c r="Z83"/>
  <c r="T70"/>
  <c r="N70"/>
  <c r="O73"/>
  <c r="AA66"/>
  <c r="Y68"/>
  <c r="AF65"/>
  <c r="AG64"/>
  <c r="N31"/>
  <c r="O34"/>
  <c r="O27"/>
  <c r="M29"/>
  <c r="T26"/>
  <c r="U25"/>
  <c r="Y74"/>
  <c r="AA74" s="1"/>
  <c r="M74"/>
  <c r="O74" s="1"/>
  <c r="AE69"/>
  <c r="S69"/>
  <c r="S71" s="1"/>
  <c r="Y65"/>
  <c r="AA65" s="1"/>
  <c r="M65"/>
  <c r="AE60"/>
  <c r="AG45"/>
  <c r="AA45"/>
  <c r="U45"/>
  <c r="O45"/>
  <c r="AG42"/>
  <c r="AA42"/>
  <c r="U42"/>
  <c r="O42"/>
  <c r="AJ40"/>
  <c r="AD40"/>
  <c r="X40"/>
  <c r="R40"/>
  <c r="AJ39"/>
  <c r="AD39"/>
  <c r="X39"/>
  <c r="R39"/>
  <c r="AG36"/>
  <c r="AA36"/>
  <c r="U36"/>
  <c r="O36"/>
  <c r="AG20"/>
  <c r="U14"/>
  <c r="AG27"/>
  <c r="AE29"/>
  <c r="T31"/>
  <c r="Z31"/>
  <c r="AA34"/>
  <c r="AE35"/>
  <c r="AE30"/>
  <c r="AG30" s="1"/>
  <c r="Y35"/>
  <c r="S35"/>
  <c r="S30"/>
  <c r="M35"/>
  <c r="AA27"/>
  <c r="Y29"/>
  <c r="AA29" s="1"/>
  <c r="AF26"/>
  <c r="AG26" s="1"/>
  <c r="AG25"/>
  <c r="Y59"/>
  <c r="M59"/>
  <c r="O59" s="1"/>
  <c r="AG55"/>
  <c r="U55"/>
  <c r="Y53"/>
  <c r="M53"/>
  <c r="O53" s="1"/>
  <c r="AG49"/>
  <c r="U49"/>
  <c r="AD32"/>
  <c r="R32"/>
  <c r="AG10"/>
  <c r="U27"/>
  <c r="S29"/>
  <c r="U29" s="1"/>
  <c r="AF31"/>
  <c r="AE23"/>
  <c r="S23"/>
  <c r="AE17"/>
  <c r="S17"/>
  <c r="AE8"/>
  <c r="AG8" s="1"/>
  <c r="S8"/>
  <c r="U8" s="1"/>
  <c r="Y23"/>
  <c r="M23"/>
  <c r="O23" s="1"/>
  <c r="AG19"/>
  <c r="U19"/>
  <c r="Y17"/>
  <c r="AA17" s="1"/>
  <c r="M17"/>
  <c r="AG13"/>
  <c r="U13"/>
  <c r="Y10"/>
  <c r="AA10" s="1"/>
  <c r="M10"/>
  <c r="O10" s="1"/>
  <c r="Y9"/>
  <c r="Y30" s="1"/>
  <c r="M9"/>
  <c r="O9" s="1"/>
  <c r="Y8"/>
  <c r="AA8" s="1"/>
  <c r="M8"/>
  <c r="O8" s="1"/>
  <c r="O29" l="1"/>
  <c r="U74"/>
  <c r="AG74"/>
  <c r="AG56"/>
  <c r="AG50"/>
  <c r="AG23"/>
  <c r="AG68"/>
  <c r="AE107"/>
  <c r="AA26"/>
  <c r="AG14"/>
  <c r="AG95"/>
  <c r="AG69"/>
  <c r="AA69"/>
  <c r="AA68"/>
  <c r="AG35"/>
  <c r="AG29"/>
  <c r="AG17"/>
  <c r="Y71"/>
  <c r="AA77"/>
  <c r="AA104"/>
  <c r="U101"/>
  <c r="AA96"/>
  <c r="AA95"/>
  <c r="AA78"/>
  <c r="AA59"/>
  <c r="AA35"/>
  <c r="AA30"/>
  <c r="U17"/>
  <c r="AA106"/>
  <c r="U20"/>
  <c r="U92"/>
  <c r="Y107"/>
  <c r="AA107" s="1"/>
  <c r="AA83"/>
  <c r="U78"/>
  <c r="U77"/>
  <c r="S11"/>
  <c r="U11" s="1"/>
  <c r="O96"/>
  <c r="O68"/>
  <c r="U83"/>
  <c r="T80"/>
  <c r="O78"/>
  <c r="U56"/>
  <c r="U50"/>
  <c r="O106"/>
  <c r="U23"/>
  <c r="O20"/>
  <c r="S107"/>
  <c r="M107"/>
  <c r="U26"/>
  <c r="O104"/>
  <c r="O65"/>
  <c r="N41"/>
  <c r="O41" s="1"/>
  <c r="O35"/>
  <c r="L107"/>
  <c r="AG38"/>
  <c r="AG86"/>
  <c r="AE98"/>
  <c r="N89"/>
  <c r="N107"/>
  <c r="AE31"/>
  <c r="AE32" s="1"/>
  <c r="AG92"/>
  <c r="AG44"/>
  <c r="AE80"/>
  <c r="U44"/>
  <c r="O47"/>
  <c r="O50"/>
  <c r="S80"/>
  <c r="M80"/>
  <c r="AA53"/>
  <c r="U35"/>
  <c r="AG65"/>
  <c r="T61"/>
  <c r="T62" s="1"/>
  <c r="S41"/>
  <c r="U41" s="1"/>
  <c r="U38"/>
  <c r="AA56"/>
  <c r="AJ62"/>
  <c r="O17"/>
  <c r="S32"/>
  <c r="O88"/>
  <c r="AA14"/>
  <c r="R41"/>
  <c r="O44"/>
  <c r="U95"/>
  <c r="X61"/>
  <c r="AA50"/>
  <c r="U89"/>
  <c r="AA23"/>
  <c r="U79"/>
  <c r="U59"/>
  <c r="AD61"/>
  <c r="U96"/>
  <c r="AA20"/>
  <c r="O26"/>
  <c r="U53"/>
  <c r="AJ41"/>
  <c r="Y60"/>
  <c r="AA60" s="1"/>
  <c r="S61"/>
  <c r="S62" s="1"/>
  <c r="O101"/>
  <c r="AG106"/>
  <c r="AF107"/>
  <c r="U69"/>
  <c r="AA39"/>
  <c r="AA41"/>
  <c r="AG40"/>
  <c r="AF41"/>
  <c r="AG41" s="1"/>
  <c r="M31"/>
  <c r="O31" s="1"/>
  <c r="AA9"/>
  <c r="AE71"/>
  <c r="AA105"/>
  <c r="AG105"/>
  <c r="O39"/>
  <c r="L41"/>
  <c r="AE61"/>
  <c r="AG61" s="1"/>
  <c r="N60"/>
  <c r="N62" s="1"/>
  <c r="M60"/>
  <c r="M62" s="1"/>
  <c r="U106"/>
  <c r="T107"/>
  <c r="O83"/>
  <c r="U40"/>
  <c r="O14"/>
  <c r="L32"/>
  <c r="U68"/>
  <c r="Z32"/>
  <c r="U31"/>
  <c r="T32"/>
  <c r="AF62"/>
  <c r="N71"/>
  <c r="O71" s="1"/>
  <c r="O70"/>
  <c r="U70"/>
  <c r="T71"/>
  <c r="U71" s="1"/>
  <c r="O61"/>
  <c r="AG70"/>
  <c r="AF71"/>
  <c r="T98"/>
  <c r="U98" s="1"/>
  <c r="U97"/>
  <c r="Z62"/>
  <c r="AA61"/>
  <c r="Y11"/>
  <c r="AA11" s="1"/>
  <c r="U30"/>
  <c r="M30"/>
  <c r="O30" s="1"/>
  <c r="AG60"/>
  <c r="Y80"/>
  <c r="M89"/>
  <c r="M98"/>
  <c r="O105"/>
  <c r="Y89"/>
  <c r="AA89" s="1"/>
  <c r="U105"/>
  <c r="AG89"/>
  <c r="Y98"/>
  <c r="AF32"/>
  <c r="AA97"/>
  <c r="Z98"/>
  <c r="O79"/>
  <c r="N80"/>
  <c r="O80" s="1"/>
  <c r="M11"/>
  <c r="O11" s="1"/>
  <c r="Y31"/>
  <c r="Y32" s="1"/>
  <c r="N32"/>
  <c r="AF98"/>
  <c r="AG97"/>
  <c r="O97"/>
  <c r="N98"/>
  <c r="AG79"/>
  <c r="AF80"/>
  <c r="U60"/>
  <c r="Z71"/>
  <c r="AA70"/>
  <c r="AA79"/>
  <c r="Z80"/>
  <c r="AG98" l="1"/>
  <c r="AE62"/>
  <c r="AG62" s="1"/>
  <c r="AG107"/>
  <c r="AA71"/>
  <c r="AG31"/>
  <c r="U80"/>
  <c r="O89"/>
  <c r="U107"/>
  <c r="O107"/>
  <c r="U61"/>
  <c r="O98"/>
  <c r="AG80"/>
  <c r="AG71"/>
  <c r="Y62"/>
  <c r="AA62" s="1"/>
  <c r="U32"/>
  <c r="AA98"/>
  <c r="M32"/>
  <c r="O32" s="1"/>
  <c r="O62"/>
  <c r="O60"/>
  <c r="U62"/>
  <c r="AA31"/>
  <c r="AA80"/>
  <c r="AG32"/>
  <c r="AA32"/>
  <c r="AI45" i="8" l="1"/>
  <c r="AC45"/>
  <c r="W45"/>
  <c r="Q45"/>
  <c r="K95"/>
  <c r="Q95"/>
  <c r="W95"/>
  <c r="AC95"/>
  <c r="AI95"/>
  <c r="AI67"/>
  <c r="AC67"/>
  <c r="W67"/>
  <c r="Q67"/>
  <c r="K67"/>
  <c r="AH25" i="16"/>
  <c r="AD25"/>
  <c r="AC25"/>
  <c r="AD23"/>
  <c r="AC23"/>
  <c r="AD22"/>
  <c r="AC22"/>
  <c r="AD21"/>
  <c r="AC21"/>
  <c r="AD19"/>
  <c r="AC19"/>
  <c r="AD18"/>
  <c r="AC18"/>
  <c r="AH17"/>
  <c r="AD17"/>
  <c r="AC17"/>
  <c r="AH16"/>
  <c r="AD16"/>
  <c r="AC16"/>
  <c r="AD10"/>
  <c r="AC10"/>
  <c r="AD14"/>
  <c r="AC14"/>
  <c r="AD13"/>
  <c r="AC13"/>
  <c r="AD12"/>
  <c r="AC12"/>
  <c r="AD9"/>
  <c r="AC9"/>
  <c r="AD11"/>
  <c r="AC11"/>
  <c r="AH7"/>
  <c r="AD7"/>
  <c r="AC7"/>
  <c r="AD8"/>
  <c r="AC8"/>
  <c r="AD5"/>
  <c r="AC5"/>
  <c r="AD6"/>
  <c r="AC6"/>
  <c r="AE36" i="14"/>
  <c r="AA36"/>
  <c r="Z36"/>
  <c r="AA34"/>
  <c r="Z34"/>
  <c r="AA33"/>
  <c r="Z33"/>
  <c r="AA32"/>
  <c r="Z32"/>
  <c r="AE29"/>
  <c r="AA29"/>
  <c r="AB29" s="1"/>
  <c r="Z29"/>
  <c r="AE30"/>
  <c r="AA30"/>
  <c r="Z30"/>
  <c r="AE28"/>
  <c r="AA28"/>
  <c r="Z28"/>
  <c r="AE27"/>
  <c r="AA27"/>
  <c r="Z27"/>
  <c r="AA31"/>
  <c r="Z31"/>
  <c r="AE25"/>
  <c r="AA25"/>
  <c r="Z25"/>
  <c r="AE26"/>
  <c r="AA26"/>
  <c r="Z26"/>
  <c r="AE24"/>
  <c r="AA24"/>
  <c r="Z24"/>
  <c r="AE21"/>
  <c r="AA21"/>
  <c r="Z21"/>
  <c r="AE22"/>
  <c r="AA22"/>
  <c r="Z22"/>
  <c r="AE23"/>
  <c r="AA23"/>
  <c r="Z23"/>
  <c r="AE20"/>
  <c r="AA20"/>
  <c r="Z20"/>
  <c r="AE19"/>
  <c r="AA19"/>
  <c r="Z19"/>
  <c r="AA17"/>
  <c r="Z17"/>
  <c r="AA16"/>
  <c r="Z16"/>
  <c r="AA15"/>
  <c r="Z15"/>
  <c r="AA14"/>
  <c r="Z14"/>
  <c r="AA7"/>
  <c r="Z7"/>
  <c r="AA13"/>
  <c r="Z13"/>
  <c r="AA6"/>
  <c r="Z6"/>
  <c r="AE11"/>
  <c r="AA11"/>
  <c r="Z11"/>
  <c r="AE10"/>
  <c r="AA10"/>
  <c r="Z10"/>
  <c r="AE8"/>
  <c r="AA8"/>
  <c r="AB8" s="1"/>
  <c r="Z8"/>
  <c r="AE9"/>
  <c r="AA9"/>
  <c r="Z9"/>
  <c r="AE5"/>
  <c r="AA5"/>
  <c r="Z5"/>
  <c r="AH189" i="11"/>
  <c r="AD189"/>
  <c r="AC189"/>
  <c r="AH185"/>
  <c r="AH186"/>
  <c r="AH181"/>
  <c r="AH184"/>
  <c r="AH180"/>
  <c r="AH182"/>
  <c r="AH178"/>
  <c r="AH179"/>
  <c r="AH177"/>
  <c r="AH176"/>
  <c r="AD176"/>
  <c r="AC176"/>
  <c r="AH175"/>
  <c r="AD175"/>
  <c r="AC175"/>
  <c r="AH174"/>
  <c r="AD174"/>
  <c r="AC174"/>
  <c r="AH173"/>
  <c r="AD173"/>
  <c r="AC173"/>
  <c r="AD171"/>
  <c r="AC171"/>
  <c r="AH170"/>
  <c r="AH168"/>
  <c r="AH169"/>
  <c r="AH167"/>
  <c r="AH160"/>
  <c r="AH161"/>
  <c r="AH162"/>
  <c r="AH158"/>
  <c r="AH165"/>
  <c r="AH166"/>
  <c r="AH157"/>
  <c r="AH159"/>
  <c r="AH155"/>
  <c r="AH156"/>
  <c r="AH153"/>
  <c r="AD153"/>
  <c r="AC153"/>
  <c r="AH154"/>
  <c r="AH151"/>
  <c r="AD151"/>
  <c r="AE151" s="1"/>
  <c r="AC151"/>
  <c r="AH152"/>
  <c r="AD152"/>
  <c r="AC152"/>
  <c r="AH150"/>
  <c r="AD150"/>
  <c r="AC150"/>
  <c r="AH143"/>
  <c r="AD143"/>
  <c r="AC143"/>
  <c r="AH140"/>
  <c r="AH141"/>
  <c r="AD141"/>
  <c r="AC141"/>
  <c r="AH139"/>
  <c r="AH129"/>
  <c r="AD129"/>
  <c r="AC129"/>
  <c r="AH130"/>
  <c r="AH128"/>
  <c r="AD128"/>
  <c r="AC128"/>
  <c r="AH127"/>
  <c r="AD127"/>
  <c r="AC127"/>
  <c r="AH126"/>
  <c r="AD126"/>
  <c r="AC126"/>
  <c r="AH124"/>
  <c r="AD124"/>
  <c r="AC124"/>
  <c r="AH123"/>
  <c r="AD123"/>
  <c r="AC123"/>
  <c r="AH122"/>
  <c r="AH103"/>
  <c r="AD103"/>
  <c r="AC103"/>
  <c r="AH104"/>
  <c r="AH101"/>
  <c r="AD101"/>
  <c r="AC101"/>
  <c r="AH102"/>
  <c r="AD102"/>
  <c r="AC102"/>
  <c r="AH100"/>
  <c r="AD100"/>
  <c r="AC100"/>
  <c r="AC125" s="1"/>
  <c r="AH93"/>
  <c r="AD93"/>
  <c r="AC93"/>
  <c r="AH87"/>
  <c r="AH84"/>
  <c r="AH83"/>
  <c r="AH86"/>
  <c r="AH81"/>
  <c r="AH82"/>
  <c r="AH79"/>
  <c r="AD74"/>
  <c r="AC74"/>
  <c r="AH80"/>
  <c r="AH77"/>
  <c r="AD77"/>
  <c r="AC77"/>
  <c r="AH78"/>
  <c r="AD78"/>
  <c r="AC78"/>
  <c r="AH76"/>
  <c r="AD76"/>
  <c r="AC76"/>
  <c r="AH75"/>
  <c r="AD75"/>
  <c r="AC75"/>
  <c r="AH73"/>
  <c r="AD73"/>
  <c r="AC73"/>
  <c r="AH62"/>
  <c r="AH61"/>
  <c r="AH63"/>
  <c r="AH58"/>
  <c r="AH60"/>
  <c r="AH56"/>
  <c r="AH54"/>
  <c r="AD54"/>
  <c r="AC54"/>
  <c r="AH55"/>
  <c r="AD55"/>
  <c r="AC55"/>
  <c r="AH59"/>
  <c r="AH47"/>
  <c r="AD47"/>
  <c r="AC47"/>
  <c r="AH45"/>
  <c r="AD45"/>
  <c r="AC45"/>
  <c r="AH44"/>
  <c r="AD44"/>
  <c r="AC44"/>
  <c r="AH43"/>
  <c r="AH40"/>
  <c r="AH42"/>
  <c r="AH41"/>
  <c r="AH32"/>
  <c r="AH33"/>
  <c r="AH31"/>
  <c r="AH30"/>
  <c r="AD30"/>
  <c r="AC30"/>
  <c r="AH29"/>
  <c r="AD29"/>
  <c r="AC29"/>
  <c r="AH28"/>
  <c r="AD28"/>
  <c r="AC28"/>
  <c r="AH27"/>
  <c r="AD27"/>
  <c r="AC27"/>
  <c r="AH26"/>
  <c r="AH24"/>
  <c r="AH14"/>
  <c r="AH25"/>
  <c r="AD25"/>
  <c r="AC25"/>
  <c r="AH13"/>
  <c r="AH8"/>
  <c r="AH10"/>
  <c r="AH12"/>
  <c r="AH11"/>
  <c r="AH7"/>
  <c r="AD7"/>
  <c r="AE7" s="1"/>
  <c r="AC7"/>
  <c r="AH9"/>
  <c r="AH5"/>
  <c r="AD5"/>
  <c r="AC5"/>
  <c r="AH6"/>
  <c r="AD6"/>
  <c r="AC6"/>
  <c r="AI344" i="10"/>
  <c r="AD344"/>
  <c r="AI340"/>
  <c r="AD342"/>
  <c r="AI335"/>
  <c r="AI331"/>
  <c r="AI334"/>
  <c r="AI336"/>
  <c r="AI333"/>
  <c r="AI337"/>
  <c r="AI329"/>
  <c r="AD329"/>
  <c r="AI332"/>
  <c r="AI330"/>
  <c r="AI328"/>
  <c r="AD328"/>
  <c r="AI327"/>
  <c r="AD327"/>
  <c r="AI326"/>
  <c r="AD326"/>
  <c r="AI313"/>
  <c r="AI314"/>
  <c r="AI312"/>
  <c r="AD312"/>
  <c r="AI311"/>
  <c r="AD311"/>
  <c r="AI310"/>
  <c r="AD310"/>
  <c r="AI309"/>
  <c r="AD309"/>
  <c r="AI302"/>
  <c r="AD302"/>
  <c r="AI286"/>
  <c r="AI285"/>
  <c r="AD285"/>
  <c r="AI284"/>
  <c r="AD284"/>
  <c r="AI283"/>
  <c r="AD283"/>
  <c r="AI282"/>
  <c r="AD282"/>
  <c r="AD303" s="1"/>
  <c r="AI277"/>
  <c r="AI276"/>
  <c r="AI275"/>
  <c r="AI274"/>
  <c r="AI278"/>
  <c r="AI264"/>
  <c r="AI273"/>
  <c r="AI268"/>
  <c r="AI271"/>
  <c r="AI270"/>
  <c r="AI262"/>
  <c r="AD262"/>
  <c r="AI272"/>
  <c r="AI265"/>
  <c r="AI266"/>
  <c r="AI263"/>
  <c r="AD263"/>
  <c r="AI269"/>
  <c r="AI261"/>
  <c r="AD261"/>
  <c r="AI260"/>
  <c r="AD260"/>
  <c r="AI259"/>
  <c r="AD259"/>
  <c r="AI250"/>
  <c r="AD250"/>
  <c r="AI245"/>
  <c r="AI248"/>
  <c r="AI242"/>
  <c r="AI246"/>
  <c r="AI240"/>
  <c r="AI238"/>
  <c r="AD238"/>
  <c r="AI243"/>
  <c r="AI239"/>
  <c r="AI233"/>
  <c r="AD233"/>
  <c r="AI237"/>
  <c r="AD237"/>
  <c r="AI236"/>
  <c r="AD236"/>
  <c r="AI234"/>
  <c r="AD234"/>
  <c r="AI235"/>
  <c r="AD235"/>
  <c r="AI232"/>
  <c r="AD232"/>
  <c r="AI229"/>
  <c r="AD229"/>
  <c r="AI231"/>
  <c r="AD231"/>
  <c r="AI230"/>
  <c r="AD230"/>
  <c r="AI228"/>
  <c r="AD228"/>
  <c r="AI227"/>
  <c r="AD227"/>
  <c r="AD251" s="1"/>
  <c r="AI224"/>
  <c r="AD225"/>
  <c r="AI215"/>
  <c r="AI214"/>
  <c r="AD214"/>
  <c r="AI213"/>
  <c r="AD213"/>
  <c r="AI212"/>
  <c r="AD212"/>
  <c r="AI205"/>
  <c r="AD205"/>
  <c r="AI200"/>
  <c r="AI202"/>
  <c r="AI203"/>
  <c r="AD203"/>
  <c r="AI197"/>
  <c r="AI198"/>
  <c r="AI199"/>
  <c r="AI196"/>
  <c r="AD196"/>
  <c r="AI194"/>
  <c r="AD194"/>
  <c r="AI192"/>
  <c r="AD192"/>
  <c r="AI193"/>
  <c r="AD193"/>
  <c r="AI190"/>
  <c r="AD190"/>
  <c r="AI195"/>
  <c r="AD195"/>
  <c r="AI185"/>
  <c r="AD185"/>
  <c r="AI189"/>
  <c r="AD189"/>
  <c r="AI188"/>
  <c r="AD188"/>
  <c r="AI186"/>
  <c r="AD186"/>
  <c r="AI191"/>
  <c r="AD191"/>
  <c r="AI184"/>
  <c r="AD184"/>
  <c r="AI183"/>
  <c r="AD183"/>
  <c r="AI187"/>
  <c r="AD187"/>
  <c r="AI182"/>
  <c r="AD182"/>
  <c r="AI181"/>
  <c r="AD181"/>
  <c r="AI180"/>
  <c r="AD180"/>
  <c r="AI178"/>
  <c r="AD178"/>
  <c r="AF178" s="1"/>
  <c r="AI177"/>
  <c r="AI176"/>
  <c r="AI168"/>
  <c r="AI166"/>
  <c r="AI167"/>
  <c r="AI165"/>
  <c r="AI164"/>
  <c r="AD164"/>
  <c r="AI163"/>
  <c r="AD163"/>
  <c r="AI162"/>
  <c r="AD162"/>
  <c r="AI153"/>
  <c r="AD153"/>
  <c r="AD151"/>
  <c r="AI143"/>
  <c r="AD150"/>
  <c r="AI140"/>
  <c r="AI142"/>
  <c r="AI141"/>
  <c r="AI136"/>
  <c r="AI138"/>
  <c r="AI139"/>
  <c r="AI133"/>
  <c r="AD133"/>
  <c r="AI147"/>
  <c r="AI132"/>
  <c r="AD132"/>
  <c r="AI146"/>
  <c r="AI135"/>
  <c r="AI134"/>
  <c r="AI131"/>
  <c r="AD131"/>
  <c r="AI130"/>
  <c r="AD130"/>
  <c r="AI117"/>
  <c r="AD117"/>
  <c r="AI115"/>
  <c r="AD115"/>
  <c r="AI128"/>
  <c r="AD128"/>
  <c r="AI116"/>
  <c r="AD116"/>
  <c r="AI113"/>
  <c r="AD113"/>
  <c r="AI112"/>
  <c r="AD112"/>
  <c r="AI114"/>
  <c r="AD114"/>
  <c r="AI111"/>
  <c r="AD111"/>
  <c r="AI105"/>
  <c r="AD105"/>
  <c r="AD103"/>
  <c r="AI92"/>
  <c r="AD92"/>
  <c r="AF92" s="1"/>
  <c r="AI99"/>
  <c r="AI96"/>
  <c r="AD96"/>
  <c r="AI97"/>
  <c r="AD97"/>
  <c r="AI98"/>
  <c r="AD98"/>
  <c r="AD93"/>
  <c r="AF93" s="1"/>
  <c r="AI94"/>
  <c r="AD94"/>
  <c r="AI95"/>
  <c r="AD95"/>
  <c r="AI91"/>
  <c r="AD91"/>
  <c r="AI90"/>
  <c r="AD90"/>
  <c r="AD88"/>
  <c r="AI83"/>
  <c r="AI78"/>
  <c r="AI77"/>
  <c r="AI80"/>
  <c r="AI76"/>
  <c r="AI75"/>
  <c r="AI73"/>
  <c r="AI72"/>
  <c r="AI69"/>
  <c r="AD69"/>
  <c r="AI71"/>
  <c r="AI70"/>
  <c r="AD70"/>
  <c r="AI68"/>
  <c r="AD68"/>
  <c r="AI67"/>
  <c r="AD67"/>
  <c r="AI66"/>
  <c r="AD66"/>
  <c r="AI59"/>
  <c r="AD59"/>
  <c r="AD57"/>
  <c r="AI54"/>
  <c r="AI50"/>
  <c r="AI52"/>
  <c r="AI49"/>
  <c r="AD49"/>
  <c r="AI48"/>
  <c r="AD48"/>
  <c r="AI47"/>
  <c r="AD47"/>
  <c r="AI36"/>
  <c r="AI38"/>
  <c r="AI45"/>
  <c r="AD45"/>
  <c r="AI37"/>
  <c r="AI39"/>
  <c r="AI40"/>
  <c r="AI35"/>
  <c r="AI34"/>
  <c r="AI33"/>
  <c r="AI31"/>
  <c r="AD31"/>
  <c r="AI32"/>
  <c r="AI29"/>
  <c r="AD29"/>
  <c r="AI30"/>
  <c r="AD30"/>
  <c r="AI28"/>
  <c r="AD28"/>
  <c r="AD26"/>
  <c r="AD25"/>
  <c r="AI15"/>
  <c r="AD15"/>
  <c r="AI16"/>
  <c r="AI17"/>
  <c r="AI14"/>
  <c r="AD14"/>
  <c r="AI13"/>
  <c r="AD13"/>
  <c r="AI12"/>
  <c r="AD12"/>
  <c r="AD9"/>
  <c r="AI7"/>
  <c r="AD7"/>
  <c r="AD10"/>
  <c r="AD8"/>
  <c r="AI5"/>
  <c r="AD5"/>
  <c r="AI6"/>
  <c r="AD6"/>
  <c r="AE6" i="16" l="1"/>
  <c r="AB9" i="14"/>
  <c r="AB6"/>
  <c r="AB7"/>
  <c r="AB19"/>
  <c r="AB30"/>
  <c r="AE74" i="11"/>
  <c r="AD24" i="16"/>
  <c r="AC24"/>
  <c r="AE16"/>
  <c r="AE8"/>
  <c r="AA18" i="14"/>
  <c r="AB36"/>
  <c r="AB21"/>
  <c r="AE102" i="11"/>
  <c r="AE5"/>
  <c r="AC188"/>
  <c r="AE78"/>
  <c r="AH172"/>
  <c r="AD301" i="10"/>
  <c r="AD345"/>
  <c r="AF309"/>
  <c r="AI325"/>
  <c r="AE29" i="11"/>
  <c r="AE126"/>
  <c r="AH188"/>
  <c r="AB24" i="14"/>
  <c r="AB27"/>
  <c r="AE27" i="11"/>
  <c r="AH46"/>
  <c r="AE54"/>
  <c r="AE73"/>
  <c r="AE77"/>
  <c r="AH125"/>
  <c r="AE128"/>
  <c r="AB22" i="14"/>
  <c r="AB25"/>
  <c r="AE35"/>
  <c r="AC15" i="16"/>
  <c r="AE17"/>
  <c r="AH142" i="11"/>
  <c r="AE189"/>
  <c r="AE75"/>
  <c r="AE123"/>
  <c r="Z35" i="14"/>
  <c r="AF48" i="10"/>
  <c r="AI58"/>
  <c r="AF70"/>
  <c r="AD206"/>
  <c r="AI345"/>
  <c r="AC46" i="11"/>
  <c r="AE45"/>
  <c r="AE76"/>
  <c r="AH92"/>
  <c r="Z18" i="14"/>
  <c r="AA35"/>
  <c r="AE5" i="16"/>
  <c r="AE25"/>
  <c r="AE93" i="11"/>
  <c r="AE101"/>
  <c r="AE124"/>
  <c r="AE127"/>
  <c r="AE173"/>
  <c r="AB23" i="14"/>
  <c r="AB26"/>
  <c r="AB28"/>
  <c r="AD15" i="16"/>
  <c r="AD72" i="11"/>
  <c r="AC142"/>
  <c r="AE150"/>
  <c r="AE153"/>
  <c r="AE175"/>
  <c r="AE30"/>
  <c r="AE55"/>
  <c r="AE103"/>
  <c r="AC172"/>
  <c r="AE152"/>
  <c r="AE176"/>
  <c r="AE6"/>
  <c r="AE25"/>
  <c r="AC26"/>
  <c r="AE28"/>
  <c r="AE47"/>
  <c r="AC72"/>
  <c r="AH72"/>
  <c r="AC92"/>
  <c r="AD125"/>
  <c r="AE125" s="1"/>
  <c r="AE129"/>
  <c r="AE143"/>
  <c r="AD172"/>
  <c r="AE174"/>
  <c r="AF311" i="10"/>
  <c r="AF69"/>
  <c r="AF214"/>
  <c r="AF131"/>
  <c r="AF329"/>
  <c r="AF12"/>
  <c r="AF28"/>
  <c r="AF31"/>
  <c r="AF45"/>
  <c r="AI46"/>
  <c r="AF66"/>
  <c r="AF98"/>
  <c r="AF112"/>
  <c r="AF130"/>
  <c r="AF133"/>
  <c r="AI154"/>
  <c r="AF181"/>
  <c r="AF184"/>
  <c r="AF189"/>
  <c r="AF193"/>
  <c r="AI206"/>
  <c r="AF260"/>
  <c r="AF284"/>
  <c r="AF5"/>
  <c r="AF14"/>
  <c r="AF29"/>
  <c r="AI60"/>
  <c r="AF68"/>
  <c r="AF94"/>
  <c r="AI104"/>
  <c r="AF111"/>
  <c r="AF116"/>
  <c r="AI129"/>
  <c r="AF132"/>
  <c r="AF187"/>
  <c r="AF186"/>
  <c r="AF195"/>
  <c r="AF194"/>
  <c r="AF303"/>
  <c r="AF302"/>
  <c r="AF49"/>
  <c r="AF59"/>
  <c r="AF67"/>
  <c r="AF105"/>
  <c r="AF113"/>
  <c r="AF117"/>
  <c r="AD152"/>
  <c r="AF163"/>
  <c r="AF230"/>
  <c r="AF235"/>
  <c r="AF233"/>
  <c r="AI249"/>
  <c r="AI303"/>
  <c r="AF15"/>
  <c r="AI27"/>
  <c r="AF30"/>
  <c r="AF47"/>
  <c r="AF114"/>
  <c r="AF115"/>
  <c r="AF165"/>
  <c r="AI179"/>
  <c r="AF229"/>
  <c r="AF236"/>
  <c r="AI251"/>
  <c r="AI343"/>
  <c r="AF153"/>
  <c r="AD249"/>
  <c r="AF249" s="1"/>
  <c r="AD343"/>
  <c r="AF343" s="1"/>
  <c r="AD58"/>
  <c r="AD154"/>
  <c r="AF154" s="1"/>
  <c r="AD129"/>
  <c r="AF164"/>
  <c r="AF182"/>
  <c r="AF191"/>
  <c r="AF185"/>
  <c r="AF192"/>
  <c r="AI204"/>
  <c r="AF213"/>
  <c r="AI226"/>
  <c r="AF228"/>
  <c r="AF232"/>
  <c r="AF237"/>
  <c r="AF238"/>
  <c r="AF259"/>
  <c r="AF263"/>
  <c r="AF262"/>
  <c r="AF283"/>
  <c r="AF312"/>
  <c r="AF328"/>
  <c r="AD11"/>
  <c r="AF7"/>
  <c r="AF13"/>
  <c r="AD104"/>
  <c r="AF206"/>
  <c r="AF95"/>
  <c r="AI152"/>
  <c r="AD179"/>
  <c r="AF180"/>
  <c r="AF183"/>
  <c r="AF188"/>
  <c r="AF190"/>
  <c r="AF196"/>
  <c r="AF203"/>
  <c r="AD204"/>
  <c r="AF231"/>
  <c r="AF234"/>
  <c r="AF261"/>
  <c r="AI281"/>
  <c r="AF285"/>
  <c r="AD325"/>
  <c r="AF325" s="1"/>
  <c r="AF310"/>
  <c r="AF326"/>
  <c r="AF344"/>
  <c r="AB20" i="14"/>
  <c r="AD92" i="11"/>
  <c r="AD142"/>
  <c r="AE142" s="1"/>
  <c r="AD188"/>
  <c r="AE100"/>
  <c r="AD46"/>
  <c r="AE46" s="1"/>
  <c r="AD26"/>
  <c r="AE26" s="1"/>
  <c r="AF179" i="10"/>
  <c r="AF251"/>
  <c r="AD46"/>
  <c r="AF46" s="1"/>
  <c r="AD27"/>
  <c r="AF27" s="1"/>
  <c r="AD89"/>
  <c r="AF90"/>
  <c r="AF91"/>
  <c r="AF162"/>
  <c r="AD226"/>
  <c r="AF227"/>
  <c r="AF205"/>
  <c r="AF250"/>
  <c r="AD281"/>
  <c r="AF282"/>
  <c r="AF327"/>
  <c r="AF212"/>
  <c r="AB35" i="14" l="1"/>
  <c r="AE172" i="11"/>
  <c r="AF301" i="10"/>
  <c r="AF58"/>
  <c r="AF345"/>
  <c r="AF204"/>
  <c r="AE72" i="11"/>
  <c r="AF129" i="10"/>
  <c r="AF281"/>
  <c r="AH49" i="9" l="1"/>
  <c r="AD49"/>
  <c r="AC49"/>
  <c r="AC47"/>
  <c r="AH41"/>
  <c r="AH40"/>
  <c r="AH36"/>
  <c r="AH34"/>
  <c r="AD34"/>
  <c r="AC34"/>
  <c r="AH37"/>
  <c r="AH35"/>
  <c r="AD35"/>
  <c r="AH33"/>
  <c r="AD33"/>
  <c r="AC33"/>
  <c r="AD32"/>
  <c r="AH30"/>
  <c r="AH7"/>
  <c r="AH6"/>
  <c r="AD6"/>
  <c r="AC6"/>
  <c r="AH5"/>
  <c r="AD5"/>
  <c r="AC5"/>
  <c r="AE95" i="8"/>
  <c r="AD95"/>
  <c r="AI89"/>
  <c r="AE91"/>
  <c r="AD91"/>
  <c r="AE93"/>
  <c r="AD93"/>
  <c r="AI74"/>
  <c r="AE90"/>
  <c r="AD90"/>
  <c r="AI73"/>
  <c r="AI72"/>
  <c r="AI71"/>
  <c r="AE71"/>
  <c r="AD71"/>
  <c r="AI69"/>
  <c r="AE69"/>
  <c r="AD69"/>
  <c r="AI75"/>
  <c r="AI70"/>
  <c r="AE70"/>
  <c r="AD70"/>
  <c r="AI68"/>
  <c r="AE68"/>
  <c r="AD68"/>
  <c r="AE67"/>
  <c r="AD67"/>
  <c r="AI61"/>
  <c r="AI51"/>
  <c r="AE65"/>
  <c r="AD65"/>
  <c r="AI56"/>
  <c r="AI52"/>
  <c r="AI54"/>
  <c r="AI49"/>
  <c r="AI48"/>
  <c r="AE48"/>
  <c r="AD48"/>
  <c r="AI47"/>
  <c r="AE47"/>
  <c r="AD47"/>
  <c r="AE45"/>
  <c r="AD45"/>
  <c r="AE43"/>
  <c r="AD43"/>
  <c r="AE42"/>
  <c r="AD42"/>
  <c r="AE40"/>
  <c r="AD40"/>
  <c r="AI41"/>
  <c r="AE41"/>
  <c r="AD41"/>
  <c r="AE39"/>
  <c r="AD39"/>
  <c r="AI36"/>
  <c r="AE36"/>
  <c r="AD36"/>
  <c r="AI38"/>
  <c r="AE38"/>
  <c r="AD38"/>
  <c r="AI35"/>
  <c r="AE35"/>
  <c r="AD35"/>
  <c r="AI33"/>
  <c r="AE33"/>
  <c r="AD33"/>
  <c r="AI37"/>
  <c r="AE37"/>
  <c r="AD37"/>
  <c r="AI34"/>
  <c r="AE34"/>
  <c r="AD34"/>
  <c r="AI32"/>
  <c r="AE32"/>
  <c r="AD32"/>
  <c r="AI31"/>
  <c r="AE31"/>
  <c r="AD31"/>
  <c r="AI30"/>
  <c r="AE30"/>
  <c r="AE46" s="1"/>
  <c r="AD30"/>
  <c r="AD46" s="1"/>
  <c r="AE28"/>
  <c r="AD28"/>
  <c r="AI17"/>
  <c r="AI18"/>
  <c r="AI15"/>
  <c r="AI16"/>
  <c r="AI13"/>
  <c r="AI14"/>
  <c r="AI12"/>
  <c r="AI11"/>
  <c r="AI9"/>
  <c r="AI10"/>
  <c r="AI8"/>
  <c r="AE8"/>
  <c r="AD8"/>
  <c r="AI7"/>
  <c r="AE7"/>
  <c r="AD7"/>
  <c r="AI6"/>
  <c r="AE6"/>
  <c r="AD6"/>
  <c r="AH270" i="7"/>
  <c r="AD270"/>
  <c r="AC270"/>
  <c r="AD265"/>
  <c r="AC265"/>
  <c r="AD268"/>
  <c r="AC268"/>
  <c r="AD266"/>
  <c r="AC266"/>
  <c r="AH261"/>
  <c r="AD261"/>
  <c r="AC261"/>
  <c r="AH263"/>
  <c r="AD263"/>
  <c r="AC263"/>
  <c r="AD267"/>
  <c r="AC267"/>
  <c r="AH262"/>
  <c r="AD262"/>
  <c r="AE262" s="1"/>
  <c r="AC262"/>
  <c r="AH258"/>
  <c r="AD258"/>
  <c r="AC258"/>
  <c r="AH264"/>
  <c r="AD264"/>
  <c r="AC264"/>
  <c r="AH260"/>
  <c r="AD260"/>
  <c r="AC260"/>
  <c r="AH259"/>
  <c r="AD259"/>
  <c r="AC259"/>
  <c r="AH257"/>
  <c r="AD257"/>
  <c r="AC257"/>
  <c r="AH255"/>
  <c r="AD255"/>
  <c r="AC255"/>
  <c r="AH256"/>
  <c r="AD256"/>
  <c r="AC256"/>
  <c r="AH254"/>
  <c r="AD254"/>
  <c r="AC254"/>
  <c r="AH252"/>
  <c r="AD252"/>
  <c r="AE252" s="1"/>
  <c r="AC252"/>
  <c r="AH251"/>
  <c r="AD251"/>
  <c r="AC251"/>
  <c r="AH250"/>
  <c r="AD250"/>
  <c r="AC250"/>
  <c r="AH248"/>
  <c r="AD248"/>
  <c r="AC248"/>
  <c r="AH246"/>
  <c r="AD246"/>
  <c r="AC246"/>
  <c r="AH245"/>
  <c r="AD245"/>
  <c r="AC245"/>
  <c r="AH247"/>
  <c r="AD247"/>
  <c r="AC247"/>
  <c r="AH243"/>
  <c r="AD243"/>
  <c r="AC243"/>
  <c r="AH242"/>
  <c r="AD242"/>
  <c r="AC242"/>
  <c r="AH244"/>
  <c r="AD244"/>
  <c r="AC244"/>
  <c r="AH249"/>
  <c r="AD249"/>
  <c r="AC249"/>
  <c r="AH240"/>
  <c r="AH241"/>
  <c r="AH237"/>
  <c r="AH238"/>
  <c r="AH239"/>
  <c r="AH235"/>
  <c r="AH234"/>
  <c r="AD234"/>
  <c r="AC234"/>
  <c r="AH231"/>
  <c r="AD231"/>
  <c r="AC231"/>
  <c r="AH232"/>
  <c r="AD232"/>
  <c r="AC232"/>
  <c r="AH230"/>
  <c r="AD230"/>
  <c r="AC230"/>
  <c r="AH233"/>
  <c r="AD233"/>
  <c r="AC233"/>
  <c r="AH229"/>
  <c r="AD229"/>
  <c r="AC229"/>
  <c r="AH228"/>
  <c r="AD228"/>
  <c r="AC228"/>
  <c r="AH221"/>
  <c r="AD221"/>
  <c r="AC221"/>
  <c r="AH219"/>
  <c r="AH216"/>
  <c r="AH213"/>
  <c r="AH214"/>
  <c r="AH212"/>
  <c r="AH218"/>
  <c r="AH210"/>
  <c r="AD210"/>
  <c r="AC210"/>
  <c r="AH211"/>
  <c r="AH209"/>
  <c r="AD209"/>
  <c r="AC209"/>
  <c r="AH208"/>
  <c r="AD208"/>
  <c r="AC208"/>
  <c r="AH207"/>
  <c r="AD207"/>
  <c r="AC207"/>
  <c r="AH206"/>
  <c r="AD206"/>
  <c r="AC206"/>
  <c r="AH205"/>
  <c r="AD205"/>
  <c r="AC205"/>
  <c r="AD203"/>
  <c r="AC203"/>
  <c r="AH202"/>
  <c r="AD202"/>
  <c r="AC202"/>
  <c r="AD200"/>
  <c r="AC200"/>
  <c r="AH201"/>
  <c r="AD201"/>
  <c r="AC201"/>
  <c r="AH198"/>
  <c r="AD198"/>
  <c r="AC198"/>
  <c r="AH196"/>
  <c r="AD196"/>
  <c r="AC196"/>
  <c r="AH199"/>
  <c r="AD199"/>
  <c r="AC199"/>
  <c r="AH197"/>
  <c r="AD197"/>
  <c r="AC197"/>
  <c r="AH195"/>
  <c r="AD195"/>
  <c r="AC195"/>
  <c r="AH193"/>
  <c r="AD193"/>
  <c r="AC193"/>
  <c r="AH192"/>
  <c r="AD192"/>
  <c r="AC192"/>
  <c r="AD194"/>
  <c r="AC194"/>
  <c r="AH191"/>
  <c r="AD191"/>
  <c r="AC191"/>
  <c r="AH190"/>
  <c r="AD190"/>
  <c r="AC190"/>
  <c r="AH189"/>
  <c r="AD189"/>
  <c r="AC189"/>
  <c r="AH185"/>
  <c r="AD185"/>
  <c r="AC185"/>
  <c r="AH186"/>
  <c r="AD186"/>
  <c r="AC186"/>
  <c r="AH188"/>
  <c r="AD188"/>
  <c r="AC188"/>
  <c r="AH187"/>
  <c r="AD187"/>
  <c r="AC187"/>
  <c r="AH184"/>
  <c r="AD184"/>
  <c r="AC184"/>
  <c r="AH177"/>
  <c r="AD177"/>
  <c r="AC177"/>
  <c r="AD175"/>
  <c r="AC175"/>
  <c r="AD174"/>
  <c r="AC174"/>
  <c r="AD173"/>
  <c r="AC173"/>
  <c r="AD172"/>
  <c r="AC172"/>
  <c r="AD171"/>
  <c r="AC171"/>
  <c r="AH170"/>
  <c r="AD170"/>
  <c r="AC170"/>
  <c r="AH169"/>
  <c r="AD169"/>
  <c r="AC169"/>
  <c r="AH166"/>
  <c r="AD166"/>
  <c r="AC166"/>
  <c r="AH165"/>
  <c r="AD165"/>
  <c r="AC165"/>
  <c r="AH168"/>
  <c r="AD168"/>
  <c r="AE168" s="1"/>
  <c r="AC168"/>
  <c r="AH167"/>
  <c r="AD167"/>
  <c r="AC167"/>
  <c r="AH163"/>
  <c r="AD163"/>
  <c r="AC163"/>
  <c r="AH162"/>
  <c r="AD162"/>
  <c r="AC162"/>
  <c r="AH164"/>
  <c r="AD164"/>
  <c r="AC164"/>
  <c r="AH161"/>
  <c r="AD161"/>
  <c r="AC161"/>
  <c r="AH160"/>
  <c r="AD160"/>
  <c r="AC160"/>
  <c r="AH159"/>
  <c r="AD159"/>
  <c r="AC159"/>
  <c r="AH156"/>
  <c r="AH157"/>
  <c r="AD157"/>
  <c r="AC157"/>
  <c r="AH154"/>
  <c r="AH155"/>
  <c r="AH145"/>
  <c r="AD145"/>
  <c r="AC145"/>
  <c r="AH143"/>
  <c r="AD143"/>
  <c r="AC143"/>
  <c r="AH144"/>
  <c r="AD144"/>
  <c r="AC144"/>
  <c r="AH141"/>
  <c r="AD141"/>
  <c r="AC141"/>
  <c r="AH142"/>
  <c r="AD142"/>
  <c r="AC142"/>
  <c r="AH140"/>
  <c r="AD140"/>
  <c r="AC140"/>
  <c r="AH139"/>
  <c r="AD139"/>
  <c r="AC139"/>
  <c r="AH132"/>
  <c r="AD132"/>
  <c r="AC132"/>
  <c r="AD124"/>
  <c r="AC124"/>
  <c r="AD130"/>
  <c r="AC130"/>
  <c r="AD128"/>
  <c r="AC128"/>
  <c r="AD126"/>
  <c r="AC126"/>
  <c r="AD127"/>
  <c r="AC127"/>
  <c r="AD129"/>
  <c r="AC129"/>
  <c r="AD125"/>
  <c r="AC125"/>
  <c r="AH123"/>
  <c r="AD123"/>
  <c r="AC123"/>
  <c r="AH122"/>
  <c r="AD122"/>
  <c r="AC122"/>
  <c r="AH119"/>
  <c r="AD119"/>
  <c r="AC119"/>
  <c r="AH121"/>
  <c r="AD121"/>
  <c r="AC121"/>
  <c r="AH120"/>
  <c r="AD120"/>
  <c r="AC120"/>
  <c r="AH118"/>
  <c r="AD118"/>
  <c r="AC118"/>
  <c r="AH117"/>
  <c r="AD117"/>
  <c r="AC117"/>
  <c r="AH116"/>
  <c r="AD116"/>
  <c r="AE116" s="1"/>
  <c r="AC116"/>
  <c r="AD114"/>
  <c r="AC114"/>
  <c r="AH111"/>
  <c r="AH112"/>
  <c r="AH110"/>
  <c r="AH107"/>
  <c r="AH98"/>
  <c r="AD98"/>
  <c r="AC98"/>
  <c r="AH109"/>
  <c r="AH108"/>
  <c r="AD113"/>
  <c r="AC113"/>
  <c r="AH99"/>
  <c r="AD99"/>
  <c r="AC99"/>
  <c r="AH106"/>
  <c r="AH100"/>
  <c r="AD100"/>
  <c r="AC100"/>
  <c r="AH101"/>
  <c r="AD101"/>
  <c r="AC101"/>
  <c r="AH102"/>
  <c r="AD102"/>
  <c r="AC102"/>
  <c r="AH97"/>
  <c r="AD97"/>
  <c r="AC97"/>
  <c r="AH95"/>
  <c r="AD95"/>
  <c r="AC95"/>
  <c r="AH96"/>
  <c r="AD96"/>
  <c r="AC96"/>
  <c r="AH92"/>
  <c r="AD92"/>
  <c r="AC92"/>
  <c r="AH93"/>
  <c r="AD93"/>
  <c r="AC93"/>
  <c r="AH103"/>
  <c r="AD103"/>
  <c r="AC103"/>
  <c r="AH94"/>
  <c r="AD94"/>
  <c r="AC94"/>
  <c r="AH91"/>
  <c r="AD91"/>
  <c r="AC91"/>
  <c r="AH90"/>
  <c r="AD90"/>
  <c r="AC90"/>
  <c r="AH83"/>
  <c r="AD83"/>
  <c r="AC83"/>
  <c r="AD77"/>
  <c r="AC77"/>
  <c r="AD81"/>
  <c r="AC81"/>
  <c r="AD80"/>
  <c r="AC80"/>
  <c r="AH76"/>
  <c r="AD76"/>
  <c r="AC76"/>
  <c r="AD78"/>
  <c r="AC78"/>
  <c r="AD79"/>
  <c r="AC79"/>
  <c r="AH74"/>
  <c r="AD74"/>
  <c r="AC74"/>
  <c r="AH73"/>
  <c r="AD73"/>
  <c r="AC73"/>
  <c r="AH72"/>
  <c r="AD72"/>
  <c r="AC72"/>
  <c r="AH70"/>
  <c r="AD70"/>
  <c r="AC70"/>
  <c r="AD75"/>
  <c r="AC75"/>
  <c r="AH68"/>
  <c r="AD68"/>
  <c r="AC68"/>
  <c r="AH65"/>
  <c r="AD65"/>
  <c r="AC65"/>
  <c r="AH69"/>
  <c r="AD69"/>
  <c r="AC69"/>
  <c r="AH71"/>
  <c r="AD71"/>
  <c r="AC71"/>
  <c r="AH67"/>
  <c r="AD67"/>
  <c r="AC67"/>
  <c r="AH66"/>
  <c r="AD66"/>
  <c r="AC66"/>
  <c r="AH64"/>
  <c r="AD64"/>
  <c r="AC64"/>
  <c r="AH61"/>
  <c r="AH60"/>
  <c r="AH57"/>
  <c r="AH59"/>
  <c r="AH58"/>
  <c r="AH55"/>
  <c r="AH52"/>
  <c r="AD52"/>
  <c r="AC52"/>
  <c r="AH54"/>
  <c r="AH49"/>
  <c r="AD49"/>
  <c r="AC49"/>
  <c r="AH53"/>
  <c r="AD53"/>
  <c r="AC53"/>
  <c r="AH51"/>
  <c r="AD51"/>
  <c r="AC51"/>
  <c r="AH50"/>
  <c r="AD50"/>
  <c r="AC50"/>
  <c r="AH47"/>
  <c r="AD47"/>
  <c r="AC47"/>
  <c r="AH48"/>
  <c r="AD48"/>
  <c r="AC48"/>
  <c r="AH46"/>
  <c r="AD46"/>
  <c r="AC46"/>
  <c r="AH44"/>
  <c r="AD44"/>
  <c r="AC44"/>
  <c r="AH45"/>
  <c r="AD45"/>
  <c r="AC45"/>
  <c r="AH43"/>
  <c r="AD43"/>
  <c r="AC43"/>
  <c r="AH36"/>
  <c r="AD36"/>
  <c r="AC36"/>
  <c r="AD34"/>
  <c r="AC34"/>
  <c r="AD29"/>
  <c r="AC29"/>
  <c r="AD33"/>
  <c r="AC33"/>
  <c r="AD32"/>
  <c r="AC32"/>
  <c r="AD24"/>
  <c r="AC24"/>
  <c r="AD26"/>
  <c r="AE26" s="1"/>
  <c r="AC26"/>
  <c r="AD28"/>
  <c r="AC28"/>
  <c r="AD31"/>
  <c r="AC31"/>
  <c r="AD27"/>
  <c r="AE27" s="1"/>
  <c r="AC27"/>
  <c r="AD25"/>
  <c r="AE25" s="1"/>
  <c r="AC25"/>
  <c r="AD23"/>
  <c r="AE23" s="1"/>
  <c r="AC23"/>
  <c r="AH21"/>
  <c r="AD21"/>
  <c r="AC21"/>
  <c r="AH22"/>
  <c r="AD22"/>
  <c r="AE22" s="1"/>
  <c r="AC22"/>
  <c r="AH20"/>
  <c r="AD20"/>
  <c r="AC20"/>
  <c r="AH19"/>
  <c r="AD19"/>
  <c r="AC19"/>
  <c r="AH18"/>
  <c r="AD18"/>
  <c r="AC18"/>
  <c r="AD16"/>
  <c r="AC16"/>
  <c r="AD15"/>
  <c r="AC15"/>
  <c r="AD14"/>
  <c r="AC14"/>
  <c r="AD13"/>
  <c r="AC13"/>
  <c r="AD12"/>
  <c r="AC12"/>
  <c r="AD11"/>
  <c r="AC11"/>
  <c r="AD10"/>
  <c r="AC10"/>
  <c r="AH9"/>
  <c r="AD9"/>
  <c r="AE9" s="1"/>
  <c r="AC9"/>
  <c r="AH8"/>
  <c r="AD8"/>
  <c r="AC8"/>
  <c r="AH6"/>
  <c r="AD6"/>
  <c r="AC6"/>
  <c r="AH7"/>
  <c r="AD7"/>
  <c r="AC7"/>
  <c r="AH5"/>
  <c r="AD5"/>
  <c r="AC5"/>
  <c r="BO65" i="12"/>
  <c r="BM65"/>
  <c r="BH65"/>
  <c r="BF65"/>
  <c r="BE65"/>
  <c r="BD65"/>
  <c r="BO64"/>
  <c r="BM64"/>
  <c r="BH64"/>
  <c r="BF64"/>
  <c r="BE64"/>
  <c r="BD64"/>
  <c r="BM59"/>
  <c r="BM58"/>
  <c r="BO55"/>
  <c r="BM55"/>
  <c r="BH55"/>
  <c r="BF55"/>
  <c r="BE55"/>
  <c r="BD55"/>
  <c r="BO54"/>
  <c r="BM54"/>
  <c r="BH54"/>
  <c r="BF54"/>
  <c r="BE54"/>
  <c r="BD54"/>
  <c r="BM53"/>
  <c r="BM52"/>
  <c r="BO51"/>
  <c r="BM51"/>
  <c r="BH51"/>
  <c r="BF51"/>
  <c r="BE51"/>
  <c r="BD51"/>
  <c r="BO50"/>
  <c r="BM50"/>
  <c r="BH50"/>
  <c r="BF50"/>
  <c r="BE50"/>
  <c r="BD50"/>
  <c r="BO49"/>
  <c r="BM49"/>
  <c r="BH49"/>
  <c r="BF49"/>
  <c r="BF53" s="1"/>
  <c r="BE49"/>
  <c r="BD49"/>
  <c r="BO48"/>
  <c r="BM48"/>
  <c r="BH48"/>
  <c r="BF48"/>
  <c r="BE48"/>
  <c r="BD48"/>
  <c r="BO47"/>
  <c r="BM47"/>
  <c r="BH47"/>
  <c r="BF47"/>
  <c r="BE47"/>
  <c r="BD47"/>
  <c r="BO46"/>
  <c r="BM46"/>
  <c r="BH46"/>
  <c r="BF46"/>
  <c r="BE46"/>
  <c r="BD46"/>
  <c r="BM45"/>
  <c r="BM44"/>
  <c r="BO43"/>
  <c r="BM43"/>
  <c r="BH43"/>
  <c r="BF43"/>
  <c r="BE43"/>
  <c r="BD43"/>
  <c r="BO42"/>
  <c r="BM42"/>
  <c r="BH42"/>
  <c r="BF42"/>
  <c r="BE42"/>
  <c r="BD42"/>
  <c r="BO41"/>
  <c r="BM41"/>
  <c r="BH41"/>
  <c r="BF41"/>
  <c r="BE41"/>
  <c r="BD41"/>
  <c r="BO40"/>
  <c r="BM40"/>
  <c r="BH40"/>
  <c r="BF40"/>
  <c r="BE40"/>
  <c r="BD40"/>
  <c r="BO39"/>
  <c r="BM39"/>
  <c r="BH39"/>
  <c r="BF39"/>
  <c r="BE39"/>
  <c r="BD39"/>
  <c r="BO38"/>
  <c r="BM38"/>
  <c r="BH38"/>
  <c r="BF38"/>
  <c r="BE38"/>
  <c r="BD38"/>
  <c r="BM37"/>
  <c r="BM36"/>
  <c r="BO35"/>
  <c r="BM35"/>
  <c r="BH35"/>
  <c r="BF35"/>
  <c r="BE35"/>
  <c r="BD35"/>
  <c r="BO34"/>
  <c r="BM34"/>
  <c r="BH34"/>
  <c r="BF34"/>
  <c r="BE34"/>
  <c r="BD34"/>
  <c r="BO33"/>
  <c r="BM33"/>
  <c r="BH33"/>
  <c r="BH37" s="1"/>
  <c r="BF33"/>
  <c r="BF37" s="1"/>
  <c r="BE33"/>
  <c r="BD33"/>
  <c r="BO32"/>
  <c r="BM32"/>
  <c r="BH32"/>
  <c r="BF32"/>
  <c r="BF36" s="1"/>
  <c r="BE32"/>
  <c r="BD32"/>
  <c r="BO31"/>
  <c r="BM31"/>
  <c r="BH31"/>
  <c r="BF31"/>
  <c r="BE31"/>
  <c r="BD31"/>
  <c r="BO30"/>
  <c r="BM30"/>
  <c r="BH30"/>
  <c r="BF30"/>
  <c r="BE30"/>
  <c r="BD30"/>
  <c r="BM29"/>
  <c r="BM28"/>
  <c r="BO27"/>
  <c r="BM27"/>
  <c r="BH27"/>
  <c r="BF27"/>
  <c r="BE27"/>
  <c r="BD27"/>
  <c r="BO26"/>
  <c r="BM26"/>
  <c r="BH26"/>
  <c r="BF26"/>
  <c r="BE26"/>
  <c r="BD26"/>
  <c r="BO25"/>
  <c r="BM25"/>
  <c r="BH25"/>
  <c r="BF25"/>
  <c r="BE25"/>
  <c r="BD25"/>
  <c r="BO24"/>
  <c r="BM24"/>
  <c r="BH24"/>
  <c r="BF24"/>
  <c r="BF28" s="1"/>
  <c r="BE24"/>
  <c r="BD24"/>
  <c r="BO23"/>
  <c r="BM23"/>
  <c r="BH23"/>
  <c r="BF23"/>
  <c r="BE23"/>
  <c r="BD23"/>
  <c r="BO22"/>
  <c r="BM22"/>
  <c r="BH22"/>
  <c r="BF22"/>
  <c r="BE22"/>
  <c r="BD22"/>
  <c r="BM21"/>
  <c r="BO20"/>
  <c r="BM20"/>
  <c r="BO19"/>
  <c r="BM19"/>
  <c r="BH19"/>
  <c r="BF19"/>
  <c r="BE19"/>
  <c r="BD19"/>
  <c r="BO18"/>
  <c r="BM18"/>
  <c r="BH18"/>
  <c r="BF18"/>
  <c r="BE18"/>
  <c r="BD18"/>
  <c r="BO17"/>
  <c r="BM17"/>
  <c r="BH17"/>
  <c r="BF17"/>
  <c r="BE17"/>
  <c r="BD17"/>
  <c r="BO16"/>
  <c r="BM16"/>
  <c r="BH16"/>
  <c r="BF16"/>
  <c r="BE16"/>
  <c r="BD16"/>
  <c r="BO15"/>
  <c r="BM15"/>
  <c r="BH15"/>
  <c r="BF15"/>
  <c r="BE15"/>
  <c r="BD15"/>
  <c r="BO14"/>
  <c r="BM14"/>
  <c r="BH14"/>
  <c r="BF14"/>
  <c r="BE14"/>
  <c r="BD14"/>
  <c r="BO61"/>
  <c r="BM61"/>
  <c r="BO60"/>
  <c r="BM60"/>
  <c r="BO11"/>
  <c r="BM11"/>
  <c r="BH11"/>
  <c r="BF11"/>
  <c r="BE11"/>
  <c r="BD11"/>
  <c r="BO10"/>
  <c r="BM10"/>
  <c r="BH10"/>
  <c r="BF10"/>
  <c r="BE10"/>
  <c r="BD10"/>
  <c r="BO9"/>
  <c r="BM9"/>
  <c r="BH9"/>
  <c r="BF9"/>
  <c r="BE9"/>
  <c r="BD9"/>
  <c r="BO8"/>
  <c r="BM8"/>
  <c r="BH8"/>
  <c r="BF8"/>
  <c r="BE8"/>
  <c r="BD8"/>
  <c r="AJ103" i="2"/>
  <c r="AF103"/>
  <c r="AE103"/>
  <c r="AJ102"/>
  <c r="AF102"/>
  <c r="AE102"/>
  <c r="AJ100"/>
  <c r="AF100"/>
  <c r="AE100"/>
  <c r="AJ99"/>
  <c r="AF99"/>
  <c r="AE99"/>
  <c r="AJ94"/>
  <c r="AF94"/>
  <c r="AE94"/>
  <c r="AJ93"/>
  <c r="AF93"/>
  <c r="AE93"/>
  <c r="AJ91"/>
  <c r="AF91"/>
  <c r="AE91"/>
  <c r="AJ90"/>
  <c r="AF90"/>
  <c r="AE90"/>
  <c r="AJ85"/>
  <c r="AF85"/>
  <c r="AE85"/>
  <c r="AJ84"/>
  <c r="AF84"/>
  <c r="AE84"/>
  <c r="AJ82"/>
  <c r="AF82"/>
  <c r="AE82"/>
  <c r="AJ81"/>
  <c r="AF81"/>
  <c r="AE81"/>
  <c r="AJ78"/>
  <c r="AJ76"/>
  <c r="AF76"/>
  <c r="AE76"/>
  <c r="AJ75"/>
  <c r="AF75"/>
  <c r="AE75"/>
  <c r="AJ73"/>
  <c r="AF73"/>
  <c r="AE73"/>
  <c r="AJ72"/>
  <c r="AF72"/>
  <c r="AE72"/>
  <c r="AJ67"/>
  <c r="AF67"/>
  <c r="AE67"/>
  <c r="AJ66"/>
  <c r="AF66"/>
  <c r="AE66"/>
  <c r="AJ64"/>
  <c r="AF64"/>
  <c r="AE64"/>
  <c r="AJ63"/>
  <c r="AF63"/>
  <c r="AE63"/>
  <c r="AJ58"/>
  <c r="AF58"/>
  <c r="AE58"/>
  <c r="AJ57"/>
  <c r="AF57"/>
  <c r="AE57"/>
  <c r="AJ55"/>
  <c r="AF55"/>
  <c r="AE55"/>
  <c r="AJ54"/>
  <c r="AF54"/>
  <c r="AE54"/>
  <c r="AJ52"/>
  <c r="AF52"/>
  <c r="AE52"/>
  <c r="AJ51"/>
  <c r="AF51"/>
  <c r="AE51"/>
  <c r="AJ49"/>
  <c r="AF49"/>
  <c r="AE49"/>
  <c r="AJ48"/>
  <c r="AF48"/>
  <c r="AE48"/>
  <c r="AJ46"/>
  <c r="AF46"/>
  <c r="AE46"/>
  <c r="AJ45"/>
  <c r="AF45"/>
  <c r="AE45"/>
  <c r="AJ43"/>
  <c r="AF43"/>
  <c r="AE43"/>
  <c r="AJ42"/>
  <c r="AF42"/>
  <c r="AE42"/>
  <c r="AJ37"/>
  <c r="AF37"/>
  <c r="AE37"/>
  <c r="AJ36"/>
  <c r="AF36"/>
  <c r="AE36"/>
  <c r="AJ34"/>
  <c r="AF34"/>
  <c r="AE34"/>
  <c r="AJ33"/>
  <c r="AF33"/>
  <c r="AE33"/>
  <c r="AJ28"/>
  <c r="AF28"/>
  <c r="AE28"/>
  <c r="AJ27"/>
  <c r="AF27"/>
  <c r="AE27"/>
  <c r="AJ25"/>
  <c r="AF25"/>
  <c r="AE25"/>
  <c r="AJ24"/>
  <c r="AF24"/>
  <c r="AE24"/>
  <c r="AJ22"/>
  <c r="AF22"/>
  <c r="AE22"/>
  <c r="AJ21"/>
  <c r="AF21"/>
  <c r="AE21"/>
  <c r="AJ19"/>
  <c r="AF19"/>
  <c r="AE19"/>
  <c r="AJ18"/>
  <c r="AF18"/>
  <c r="AE18"/>
  <c r="AJ16"/>
  <c r="AF16"/>
  <c r="AE16"/>
  <c r="AJ15"/>
  <c r="AF15"/>
  <c r="AE15"/>
  <c r="AJ13"/>
  <c r="AF13"/>
  <c r="AE13"/>
  <c r="AJ12"/>
  <c r="AF12"/>
  <c r="AE12"/>
  <c r="AJ7"/>
  <c r="AF7"/>
  <c r="AE7"/>
  <c r="AJ6"/>
  <c r="AF6"/>
  <c r="AE6"/>
  <c r="AG55" i="13"/>
  <c r="AF55"/>
  <c r="AG54"/>
  <c r="AF54"/>
  <c r="AG52"/>
  <c r="AF52"/>
  <c r="AG51"/>
  <c r="AF51"/>
  <c r="AG49"/>
  <c r="AF49"/>
  <c r="AG48"/>
  <c r="AF48"/>
  <c r="AG46"/>
  <c r="AF46"/>
  <c r="AG45"/>
  <c r="AF45"/>
  <c r="AG43"/>
  <c r="AF43"/>
  <c r="AG42"/>
  <c r="AF42"/>
  <c r="AG40"/>
  <c r="AF40"/>
  <c r="AG39"/>
  <c r="AF39"/>
  <c r="AG37"/>
  <c r="AF37"/>
  <c r="AG36"/>
  <c r="AF36"/>
  <c r="AG25"/>
  <c r="AF25"/>
  <c r="AG24"/>
  <c r="AF24"/>
  <c r="AG22"/>
  <c r="AF22"/>
  <c r="AG21"/>
  <c r="AF21"/>
  <c r="AG19"/>
  <c r="AF19"/>
  <c r="AG18"/>
  <c r="AF18"/>
  <c r="AG16"/>
  <c r="AF16"/>
  <c r="AG15"/>
  <c r="AF15"/>
  <c r="AG13"/>
  <c r="AF13"/>
  <c r="AG12"/>
  <c r="AF12"/>
  <c r="AG10"/>
  <c r="AF10"/>
  <c r="AG9"/>
  <c r="AF9"/>
  <c r="AG7"/>
  <c r="AF7"/>
  <c r="AG6"/>
  <c r="AF6"/>
  <c r="AC5" i="10"/>
  <c r="AC6"/>
  <c r="AB185" i="11"/>
  <c r="AB141"/>
  <c r="AB45"/>
  <c r="AC37" i="10"/>
  <c r="AB35" i="9"/>
  <c r="AC74" i="8"/>
  <c r="AC49"/>
  <c r="AB129" i="7"/>
  <c r="AB67"/>
  <c r="AB10"/>
  <c r="X17" i="16"/>
  <c r="U26" i="14"/>
  <c r="Y28"/>
  <c r="U33"/>
  <c r="U20"/>
  <c r="U5"/>
  <c r="AB174" i="11"/>
  <c r="AB159"/>
  <c r="AB158"/>
  <c r="AB167"/>
  <c r="X171"/>
  <c r="AB122"/>
  <c r="AB123"/>
  <c r="X55"/>
  <c r="X54"/>
  <c r="AB58"/>
  <c r="X70"/>
  <c r="AB59"/>
  <c r="AB40"/>
  <c r="X45" i="7"/>
  <c r="X47"/>
  <c r="X49"/>
  <c r="X58"/>
  <c r="X61"/>
  <c r="W13" i="16"/>
  <c r="AB5"/>
  <c r="W9"/>
  <c r="W10"/>
  <c r="Y26" i="14"/>
  <c r="Y25"/>
  <c r="Y30"/>
  <c r="T33"/>
  <c r="T34"/>
  <c r="Y9"/>
  <c r="T6"/>
  <c r="T15"/>
  <c r="AB181" i="11"/>
  <c r="W170"/>
  <c r="W150"/>
  <c r="W141"/>
  <c r="AC34" i="10"/>
  <c r="AC41"/>
  <c r="X24"/>
  <c r="AC69"/>
  <c r="X85"/>
  <c r="X83"/>
  <c r="AB66" i="7"/>
  <c r="AE40" i="2"/>
  <c r="AE9"/>
  <c r="AB25" i="16"/>
  <c r="X25"/>
  <c r="W25"/>
  <c r="X23"/>
  <c r="W23"/>
  <c r="X22"/>
  <c r="W22"/>
  <c r="X21"/>
  <c r="W21"/>
  <c r="X19"/>
  <c r="W19"/>
  <c r="X18"/>
  <c r="W18"/>
  <c r="AB17"/>
  <c r="W17"/>
  <c r="AB16"/>
  <c r="X16"/>
  <c r="W16"/>
  <c r="X10"/>
  <c r="Y10" s="1"/>
  <c r="X14"/>
  <c r="W14"/>
  <c r="X13"/>
  <c r="X12"/>
  <c r="W12"/>
  <c r="X9"/>
  <c r="X11"/>
  <c r="W11"/>
  <c r="X7"/>
  <c r="W7"/>
  <c r="AB8"/>
  <c r="X8"/>
  <c r="W8"/>
  <c r="X5"/>
  <c r="W5"/>
  <c r="X6"/>
  <c r="Y36" i="14"/>
  <c r="U36"/>
  <c r="T36"/>
  <c r="U34"/>
  <c r="U32"/>
  <c r="T32"/>
  <c r="Y29"/>
  <c r="U29"/>
  <c r="T29"/>
  <c r="U30"/>
  <c r="T30"/>
  <c r="T28"/>
  <c r="Y27"/>
  <c r="U27"/>
  <c r="T27"/>
  <c r="U31"/>
  <c r="T31"/>
  <c r="U25"/>
  <c r="T25"/>
  <c r="T26"/>
  <c r="Y24"/>
  <c r="U24"/>
  <c r="T24"/>
  <c r="Y21"/>
  <c r="U21"/>
  <c r="T21"/>
  <c r="Y22"/>
  <c r="U22"/>
  <c r="T22"/>
  <c r="T23"/>
  <c r="T20"/>
  <c r="Y19"/>
  <c r="U19"/>
  <c r="T19"/>
  <c r="U17"/>
  <c r="T17"/>
  <c r="U16"/>
  <c r="T16"/>
  <c r="U15"/>
  <c r="U14"/>
  <c r="T14"/>
  <c r="U7"/>
  <c r="T7"/>
  <c r="U13"/>
  <c r="T13"/>
  <c r="U6"/>
  <c r="V6" s="1"/>
  <c r="Y11"/>
  <c r="U11"/>
  <c r="V11" s="1"/>
  <c r="T11"/>
  <c r="Y10"/>
  <c r="U10"/>
  <c r="T10"/>
  <c r="Y8"/>
  <c r="U8"/>
  <c r="T8"/>
  <c r="U9"/>
  <c r="T5"/>
  <c r="AB189" i="11"/>
  <c r="X189"/>
  <c r="W189"/>
  <c r="AB186"/>
  <c r="X181"/>
  <c r="W181"/>
  <c r="AB184"/>
  <c r="X187"/>
  <c r="W187"/>
  <c r="AB180"/>
  <c r="X180"/>
  <c r="W180"/>
  <c r="AB182"/>
  <c r="X182"/>
  <c r="W182"/>
  <c r="AB178"/>
  <c r="X178"/>
  <c r="W178"/>
  <c r="AB179"/>
  <c r="X179"/>
  <c r="W179"/>
  <c r="AB177"/>
  <c r="X177"/>
  <c r="W177"/>
  <c r="AB176"/>
  <c r="X176"/>
  <c r="W176"/>
  <c r="AB175"/>
  <c r="X175"/>
  <c r="W175"/>
  <c r="AB173"/>
  <c r="X173"/>
  <c r="W173"/>
  <c r="W171"/>
  <c r="X170"/>
  <c r="AB168"/>
  <c r="AB169"/>
  <c r="AB164"/>
  <c r="AB160"/>
  <c r="AB161"/>
  <c r="AB162"/>
  <c r="X158"/>
  <c r="W158"/>
  <c r="AB165"/>
  <c r="AB166"/>
  <c r="AB157"/>
  <c r="X157"/>
  <c r="W157"/>
  <c r="X159"/>
  <c r="W159"/>
  <c r="AB155"/>
  <c r="X155"/>
  <c r="W155"/>
  <c r="AB156"/>
  <c r="X156"/>
  <c r="W156"/>
  <c r="AB153"/>
  <c r="X153"/>
  <c r="W153"/>
  <c r="AB154"/>
  <c r="X154"/>
  <c r="W154"/>
  <c r="AB151"/>
  <c r="X151"/>
  <c r="W151"/>
  <c r="AB152"/>
  <c r="X152"/>
  <c r="W152"/>
  <c r="X150"/>
  <c r="AB143"/>
  <c r="X143"/>
  <c r="W143"/>
  <c r="AB140"/>
  <c r="X140"/>
  <c r="W140"/>
  <c r="X141"/>
  <c r="AB138"/>
  <c r="AB139"/>
  <c r="AB137"/>
  <c r="AB129"/>
  <c r="X129"/>
  <c r="W129"/>
  <c r="AB130"/>
  <c r="X130"/>
  <c r="W130"/>
  <c r="AB128"/>
  <c r="X128"/>
  <c r="W128"/>
  <c r="X127"/>
  <c r="W127"/>
  <c r="AB126"/>
  <c r="X126"/>
  <c r="W126"/>
  <c r="X124"/>
  <c r="W124"/>
  <c r="X123"/>
  <c r="W123"/>
  <c r="AB103"/>
  <c r="X103"/>
  <c r="W103"/>
  <c r="X104"/>
  <c r="W104"/>
  <c r="AB101"/>
  <c r="X101"/>
  <c r="W101"/>
  <c r="AB102"/>
  <c r="X102"/>
  <c r="W102"/>
  <c r="X100"/>
  <c r="AB93"/>
  <c r="X93"/>
  <c r="W93"/>
  <c r="X91"/>
  <c r="W91"/>
  <c r="AB87"/>
  <c r="AB84"/>
  <c r="AB83"/>
  <c r="X83"/>
  <c r="W83"/>
  <c r="AB86"/>
  <c r="AB81"/>
  <c r="X81"/>
  <c r="W81"/>
  <c r="AB82"/>
  <c r="X82"/>
  <c r="W82"/>
  <c r="AB79"/>
  <c r="X79"/>
  <c r="W79"/>
  <c r="X74"/>
  <c r="W74"/>
  <c r="AB80"/>
  <c r="X80"/>
  <c r="W80"/>
  <c r="AB77"/>
  <c r="X77"/>
  <c r="W77"/>
  <c r="AB78"/>
  <c r="X78"/>
  <c r="W78"/>
  <c r="X76"/>
  <c r="W76"/>
  <c r="X75"/>
  <c r="AB73"/>
  <c r="X73"/>
  <c r="W73"/>
  <c r="X71"/>
  <c r="W71"/>
  <c r="X57"/>
  <c r="W57"/>
  <c r="W70"/>
  <c r="AB61"/>
  <c r="X61"/>
  <c r="W61"/>
  <c r="W58"/>
  <c r="AB60"/>
  <c r="X60"/>
  <c r="W60"/>
  <c r="AB56"/>
  <c r="X56"/>
  <c r="W56"/>
  <c r="W54"/>
  <c r="W55"/>
  <c r="X59"/>
  <c r="W59"/>
  <c r="AB47"/>
  <c r="X47"/>
  <c r="W47"/>
  <c r="X45"/>
  <c r="W45"/>
  <c r="AB44"/>
  <c r="AB43"/>
  <c r="AB42"/>
  <c r="AB41"/>
  <c r="AB34"/>
  <c r="AB32"/>
  <c r="X32"/>
  <c r="W32"/>
  <c r="AB33"/>
  <c r="X33"/>
  <c r="W33"/>
  <c r="AB31"/>
  <c r="X31"/>
  <c r="W31"/>
  <c r="AB30"/>
  <c r="X30"/>
  <c r="W30"/>
  <c r="AB29"/>
  <c r="X29"/>
  <c r="W29"/>
  <c r="AB28"/>
  <c r="X28"/>
  <c r="W28"/>
  <c r="AB27"/>
  <c r="X27"/>
  <c r="W27"/>
  <c r="X24"/>
  <c r="W24"/>
  <c r="X21"/>
  <c r="Y21" s="1"/>
  <c r="W21"/>
  <c r="X18"/>
  <c r="W18"/>
  <c r="X20"/>
  <c r="W20"/>
  <c r="X19"/>
  <c r="W19"/>
  <c r="AB14"/>
  <c r="X14"/>
  <c r="W14"/>
  <c r="AB15"/>
  <c r="X15"/>
  <c r="W15"/>
  <c r="AB25"/>
  <c r="X25"/>
  <c r="W25"/>
  <c r="X22"/>
  <c r="W22"/>
  <c r="AB17"/>
  <c r="X17"/>
  <c r="W17"/>
  <c r="AB13"/>
  <c r="X13"/>
  <c r="W13"/>
  <c r="AB16"/>
  <c r="X16"/>
  <c r="W16"/>
  <c r="AB8"/>
  <c r="X8"/>
  <c r="W8"/>
  <c r="AB10"/>
  <c r="X10"/>
  <c r="W10"/>
  <c r="AB12"/>
  <c r="X12"/>
  <c r="W12"/>
  <c r="AB11"/>
  <c r="X11"/>
  <c r="W11"/>
  <c r="AB7"/>
  <c r="X7"/>
  <c r="W7"/>
  <c r="AB9"/>
  <c r="X9"/>
  <c r="W9"/>
  <c r="AB5"/>
  <c r="X5"/>
  <c r="W5"/>
  <c r="AB6"/>
  <c r="X6"/>
  <c r="W6"/>
  <c r="AC344" i="10"/>
  <c r="X344"/>
  <c r="X341"/>
  <c r="AC340"/>
  <c r="X342"/>
  <c r="AC335"/>
  <c r="X335"/>
  <c r="AC331"/>
  <c r="X331"/>
  <c r="AC334"/>
  <c r="X334"/>
  <c r="AC336"/>
  <c r="X336"/>
  <c r="AC333"/>
  <c r="X333"/>
  <c r="AC337"/>
  <c r="X337"/>
  <c r="AC329"/>
  <c r="X329"/>
  <c r="AC332"/>
  <c r="X332"/>
  <c r="AC330"/>
  <c r="X330"/>
  <c r="AC328"/>
  <c r="X328"/>
  <c r="AC327"/>
  <c r="X327"/>
  <c r="AC326"/>
  <c r="X326"/>
  <c r="X324"/>
  <c r="X323"/>
  <c r="X321"/>
  <c r="X322"/>
  <c r="AC318"/>
  <c r="AC316"/>
  <c r="AC313"/>
  <c r="AC314"/>
  <c r="AC312"/>
  <c r="X312"/>
  <c r="AC311"/>
  <c r="X311"/>
  <c r="AC310"/>
  <c r="X310"/>
  <c r="AC309"/>
  <c r="X309"/>
  <c r="AC302"/>
  <c r="X302"/>
  <c r="AC299"/>
  <c r="AC285"/>
  <c r="X285"/>
  <c r="AC284"/>
  <c r="X284"/>
  <c r="X283"/>
  <c r="AC282"/>
  <c r="X282"/>
  <c r="AC262"/>
  <c r="X262"/>
  <c r="AC261"/>
  <c r="X261"/>
  <c r="AC260"/>
  <c r="X260"/>
  <c r="AC259"/>
  <c r="X259"/>
  <c r="AC250"/>
  <c r="X250"/>
  <c r="AC248"/>
  <c r="X248"/>
  <c r="AC246"/>
  <c r="AC238"/>
  <c r="AC239"/>
  <c r="AC233"/>
  <c r="X233"/>
  <c r="AC237"/>
  <c r="AC236"/>
  <c r="AC234"/>
  <c r="X234"/>
  <c r="AC235"/>
  <c r="X235"/>
  <c r="AC232"/>
  <c r="X232"/>
  <c r="AC229"/>
  <c r="X229"/>
  <c r="AC231"/>
  <c r="X231"/>
  <c r="AC230"/>
  <c r="X230"/>
  <c r="AC228"/>
  <c r="X228"/>
  <c r="AC227"/>
  <c r="X227"/>
  <c r="X251" s="1"/>
  <c r="X225"/>
  <c r="AC215"/>
  <c r="AC214"/>
  <c r="X214"/>
  <c r="AC213"/>
  <c r="X213"/>
  <c r="AC212"/>
  <c r="X212"/>
  <c r="AC205"/>
  <c r="X205"/>
  <c r="AC200"/>
  <c r="AC202"/>
  <c r="AC203"/>
  <c r="X203"/>
  <c r="AC197"/>
  <c r="AC198"/>
  <c r="AC199"/>
  <c r="AC196"/>
  <c r="AC194"/>
  <c r="X194"/>
  <c r="AC192"/>
  <c r="X192"/>
  <c r="AC193"/>
  <c r="X193"/>
  <c r="AC190"/>
  <c r="X190"/>
  <c r="AC195"/>
  <c r="X195"/>
  <c r="AC185"/>
  <c r="X185"/>
  <c r="AC189"/>
  <c r="X189"/>
  <c r="AC188"/>
  <c r="X188"/>
  <c r="AC186"/>
  <c r="X186"/>
  <c r="AC191"/>
  <c r="X191"/>
  <c r="AC184"/>
  <c r="X184"/>
  <c r="AC183"/>
  <c r="X183"/>
  <c r="AC187"/>
  <c r="X187"/>
  <c r="AC182"/>
  <c r="X182"/>
  <c r="AC181"/>
  <c r="X181"/>
  <c r="AC180"/>
  <c r="X180"/>
  <c r="X178"/>
  <c r="X169"/>
  <c r="X177"/>
  <c r="X176"/>
  <c r="X171"/>
  <c r="X175"/>
  <c r="Z175" s="1"/>
  <c r="X172"/>
  <c r="X170"/>
  <c r="Z170" s="1"/>
  <c r="AC168"/>
  <c r="X168"/>
  <c r="Z168" s="1"/>
  <c r="AC166"/>
  <c r="X166"/>
  <c r="AC167"/>
  <c r="X167"/>
  <c r="AC165"/>
  <c r="X165"/>
  <c r="AC164"/>
  <c r="X164"/>
  <c r="AC163"/>
  <c r="X163"/>
  <c r="AC162"/>
  <c r="X162"/>
  <c r="AC153"/>
  <c r="X153"/>
  <c r="X151"/>
  <c r="X150"/>
  <c r="AC136"/>
  <c r="AC133"/>
  <c r="X133"/>
  <c r="AC132"/>
  <c r="X132"/>
  <c r="AC135"/>
  <c r="X135"/>
  <c r="AC134"/>
  <c r="X134"/>
  <c r="AC131"/>
  <c r="X131"/>
  <c r="AC130"/>
  <c r="X130"/>
  <c r="X122"/>
  <c r="Z122" s="1"/>
  <c r="X121"/>
  <c r="Z121" s="1"/>
  <c r="X118"/>
  <c r="X119"/>
  <c r="Z119" s="1"/>
  <c r="AC117"/>
  <c r="X117"/>
  <c r="X120"/>
  <c r="Z120" s="1"/>
  <c r="AC115"/>
  <c r="X115"/>
  <c r="AC128"/>
  <c r="X128"/>
  <c r="AC116"/>
  <c r="X116"/>
  <c r="AC113"/>
  <c r="X113"/>
  <c r="AC112"/>
  <c r="X112"/>
  <c r="AC114"/>
  <c r="X114"/>
  <c r="AC111"/>
  <c r="X111"/>
  <c r="AC105"/>
  <c r="X105"/>
  <c r="X103"/>
  <c r="X102"/>
  <c r="AC92"/>
  <c r="X92"/>
  <c r="Z92" s="1"/>
  <c r="X101"/>
  <c r="AC99"/>
  <c r="X99"/>
  <c r="AC96"/>
  <c r="X96"/>
  <c r="AC97"/>
  <c r="X97"/>
  <c r="AC98"/>
  <c r="X98"/>
  <c r="X93"/>
  <c r="AC94"/>
  <c r="X94"/>
  <c r="AC95"/>
  <c r="X95"/>
  <c r="AC91"/>
  <c r="X91"/>
  <c r="AC90"/>
  <c r="X90"/>
  <c r="X81"/>
  <c r="Z81" s="1"/>
  <c r="X88"/>
  <c r="X87"/>
  <c r="X86"/>
  <c r="X82"/>
  <c r="X78"/>
  <c r="X77"/>
  <c r="X80"/>
  <c r="Z80" s="1"/>
  <c r="X76"/>
  <c r="Z76" s="1"/>
  <c r="X74"/>
  <c r="X84"/>
  <c r="X73"/>
  <c r="Z73" s="1"/>
  <c r="AC72"/>
  <c r="X72"/>
  <c r="Z72" s="1"/>
  <c r="AC71"/>
  <c r="X71"/>
  <c r="AC70"/>
  <c r="X70"/>
  <c r="AC68"/>
  <c r="X68"/>
  <c r="AC66"/>
  <c r="X66"/>
  <c r="AD60"/>
  <c r="AC59"/>
  <c r="X59"/>
  <c r="X57"/>
  <c r="AC50"/>
  <c r="AC49"/>
  <c r="X49"/>
  <c r="AC48"/>
  <c r="X48"/>
  <c r="AC47"/>
  <c r="X47"/>
  <c r="X44"/>
  <c r="AC36"/>
  <c r="X36"/>
  <c r="Z36" s="1"/>
  <c r="X43"/>
  <c r="AC38"/>
  <c r="X38"/>
  <c r="Z38" s="1"/>
  <c r="AC45"/>
  <c r="X45"/>
  <c r="X37"/>
  <c r="X41"/>
  <c r="Z41" s="1"/>
  <c r="AC39"/>
  <c r="X39"/>
  <c r="AC40"/>
  <c r="X40"/>
  <c r="Z40" s="1"/>
  <c r="AC35"/>
  <c r="X35"/>
  <c r="Z35" s="1"/>
  <c r="X34"/>
  <c r="AC33"/>
  <c r="X33"/>
  <c r="AC31"/>
  <c r="X31"/>
  <c r="AC32"/>
  <c r="X32"/>
  <c r="AC29"/>
  <c r="X29"/>
  <c r="AC30"/>
  <c r="X30"/>
  <c r="AC28"/>
  <c r="X28"/>
  <c r="X26"/>
  <c r="X25"/>
  <c r="AC15"/>
  <c r="X15"/>
  <c r="AC16"/>
  <c r="AC13"/>
  <c r="X13"/>
  <c r="AC12"/>
  <c r="X12"/>
  <c r="X9"/>
  <c r="X7"/>
  <c r="Z7" s="1"/>
  <c r="X10"/>
  <c r="X8"/>
  <c r="X5"/>
  <c r="AB49" i="9"/>
  <c r="X49"/>
  <c r="X47"/>
  <c r="W47"/>
  <c r="X46"/>
  <c r="W46"/>
  <c r="X45"/>
  <c r="W45"/>
  <c r="X44"/>
  <c r="W44"/>
  <c r="X43"/>
  <c r="W43"/>
  <c r="AB36"/>
  <c r="AB34"/>
  <c r="X34"/>
  <c r="W34"/>
  <c r="X35"/>
  <c r="W35"/>
  <c r="AB33"/>
  <c r="X33"/>
  <c r="W33"/>
  <c r="AB32"/>
  <c r="X32"/>
  <c r="W32"/>
  <c r="AB30"/>
  <c r="X30"/>
  <c r="Y30" s="1"/>
  <c r="W30"/>
  <c r="AB23"/>
  <c r="AB22"/>
  <c r="X8"/>
  <c r="Y8" s="1"/>
  <c r="W8"/>
  <c r="X16"/>
  <c r="W16"/>
  <c r="X14"/>
  <c r="W14"/>
  <c r="X13"/>
  <c r="W13"/>
  <c r="X17"/>
  <c r="W17"/>
  <c r="X15"/>
  <c r="W15"/>
  <c r="X11"/>
  <c r="Y11" s="1"/>
  <c r="W11"/>
  <c r="X12"/>
  <c r="Y12" s="1"/>
  <c r="W12"/>
  <c r="X10"/>
  <c r="Y10" s="1"/>
  <c r="W10"/>
  <c r="X9"/>
  <c r="Y9" s="1"/>
  <c r="W9"/>
  <c r="AB7"/>
  <c r="X7"/>
  <c r="W7"/>
  <c r="AB6"/>
  <c r="X6"/>
  <c r="W6"/>
  <c r="AB5"/>
  <c r="X5"/>
  <c r="W5"/>
  <c r="Y95" i="8"/>
  <c r="X95"/>
  <c r="Y91"/>
  <c r="X91"/>
  <c r="Y93"/>
  <c r="X93"/>
  <c r="AC73"/>
  <c r="AC72"/>
  <c r="Y72"/>
  <c r="X72"/>
  <c r="AC71"/>
  <c r="Y71"/>
  <c r="X71"/>
  <c r="AC69"/>
  <c r="Y69"/>
  <c r="X69"/>
  <c r="AC70"/>
  <c r="Y70"/>
  <c r="X70"/>
  <c r="AC68"/>
  <c r="Y68"/>
  <c r="X68"/>
  <c r="Y67"/>
  <c r="X67"/>
  <c r="X96" s="1"/>
  <c r="Y65"/>
  <c r="X65"/>
  <c r="Y49"/>
  <c r="X49"/>
  <c r="AC48"/>
  <c r="Y48"/>
  <c r="X48"/>
  <c r="AC47"/>
  <c r="Y47"/>
  <c r="X47"/>
  <c r="Y45"/>
  <c r="X45"/>
  <c r="Y43"/>
  <c r="X43"/>
  <c r="Y42"/>
  <c r="X42"/>
  <c r="AC36"/>
  <c r="AC38"/>
  <c r="AC35"/>
  <c r="AC33"/>
  <c r="Y33"/>
  <c r="X33"/>
  <c r="AC37"/>
  <c r="AC34"/>
  <c r="Y34"/>
  <c r="X34"/>
  <c r="AC32"/>
  <c r="Y32"/>
  <c r="X32"/>
  <c r="AC31"/>
  <c r="Y31"/>
  <c r="X31"/>
  <c r="AC30"/>
  <c r="Y30"/>
  <c r="X30"/>
  <c r="Y28"/>
  <c r="X28"/>
  <c r="Y27"/>
  <c r="X27"/>
  <c r="Y19"/>
  <c r="Z19" s="1"/>
  <c r="X19"/>
  <c r="Y26"/>
  <c r="X26"/>
  <c r="Y25"/>
  <c r="X25"/>
  <c r="Y24"/>
  <c r="X24"/>
  <c r="Y23"/>
  <c r="X23"/>
  <c r="Y17"/>
  <c r="X17"/>
  <c r="Y18"/>
  <c r="X18"/>
  <c r="Y15"/>
  <c r="X15"/>
  <c r="Y16"/>
  <c r="X16"/>
  <c r="Y13"/>
  <c r="X13"/>
  <c r="Y14"/>
  <c r="X14"/>
  <c r="Y12"/>
  <c r="X12"/>
  <c r="Y11"/>
  <c r="X11"/>
  <c r="AC9"/>
  <c r="Y9"/>
  <c r="X9"/>
  <c r="Y10"/>
  <c r="X10"/>
  <c r="AC8"/>
  <c r="Y8"/>
  <c r="X8"/>
  <c r="AC7"/>
  <c r="Y7"/>
  <c r="X7"/>
  <c r="AC6"/>
  <c r="Y6"/>
  <c r="X6"/>
  <c r="AB270" i="7"/>
  <c r="X270"/>
  <c r="W270"/>
  <c r="X265"/>
  <c r="W265"/>
  <c r="X268"/>
  <c r="W268"/>
  <c r="X266"/>
  <c r="W266"/>
  <c r="X261"/>
  <c r="W261"/>
  <c r="AB263"/>
  <c r="X263"/>
  <c r="Y263" s="1"/>
  <c r="W263"/>
  <c r="X267"/>
  <c r="W267"/>
  <c r="AB262"/>
  <c r="X262"/>
  <c r="W262"/>
  <c r="AB258"/>
  <c r="X258"/>
  <c r="W258"/>
  <c r="AB264"/>
  <c r="X264"/>
  <c r="W264"/>
  <c r="AB260"/>
  <c r="X260"/>
  <c r="W260"/>
  <c r="AB259"/>
  <c r="X259"/>
  <c r="W259"/>
  <c r="AB257"/>
  <c r="X257"/>
  <c r="W257"/>
  <c r="AB255"/>
  <c r="X255"/>
  <c r="W255"/>
  <c r="AB256"/>
  <c r="X256"/>
  <c r="W256"/>
  <c r="AB254"/>
  <c r="X254"/>
  <c r="W254"/>
  <c r="AB252"/>
  <c r="X252"/>
  <c r="W252"/>
  <c r="AB251"/>
  <c r="X251"/>
  <c r="W251"/>
  <c r="AB250"/>
  <c r="X250"/>
  <c r="W250"/>
  <c r="AB248"/>
  <c r="AB246"/>
  <c r="AB247"/>
  <c r="AB249"/>
  <c r="AB235"/>
  <c r="X235"/>
  <c r="W235"/>
  <c r="AB234"/>
  <c r="X234"/>
  <c r="W234"/>
  <c r="AB231"/>
  <c r="X231"/>
  <c r="W231"/>
  <c r="AB232"/>
  <c r="X232"/>
  <c r="W232"/>
  <c r="AB230"/>
  <c r="X230"/>
  <c r="W230"/>
  <c r="AB233"/>
  <c r="X233"/>
  <c r="W233"/>
  <c r="AB229"/>
  <c r="X229"/>
  <c r="W229"/>
  <c r="AB228"/>
  <c r="X228"/>
  <c r="W228"/>
  <c r="AB221"/>
  <c r="X221"/>
  <c r="W221"/>
  <c r="AB219"/>
  <c r="X219"/>
  <c r="W219"/>
  <c r="X216"/>
  <c r="W216"/>
  <c r="AB213"/>
  <c r="X213"/>
  <c r="W213"/>
  <c r="X215"/>
  <c r="W215"/>
  <c r="AB214"/>
  <c r="X214"/>
  <c r="W214"/>
  <c r="AB212"/>
  <c r="X212"/>
  <c r="W212"/>
  <c r="AB218"/>
  <c r="X218"/>
  <c r="W218"/>
  <c r="AB210"/>
  <c r="X210"/>
  <c r="W210"/>
  <c r="AB211"/>
  <c r="X211"/>
  <c r="W211"/>
  <c r="AB209"/>
  <c r="X209"/>
  <c r="W209"/>
  <c r="AB208"/>
  <c r="X208"/>
  <c r="W208"/>
  <c r="AB207"/>
  <c r="X207"/>
  <c r="W207"/>
  <c r="AB206"/>
  <c r="X206"/>
  <c r="W206"/>
  <c r="AB205"/>
  <c r="X205"/>
  <c r="W205"/>
  <c r="X203"/>
  <c r="W203"/>
  <c r="X202"/>
  <c r="W202"/>
  <c r="X200"/>
  <c r="W200"/>
  <c r="AB201"/>
  <c r="X201"/>
  <c r="W201"/>
  <c r="AB198"/>
  <c r="X198"/>
  <c r="W198"/>
  <c r="AB196"/>
  <c r="X196"/>
  <c r="W196"/>
  <c r="AB199"/>
  <c r="X199"/>
  <c r="W199"/>
  <c r="AB197"/>
  <c r="X197"/>
  <c r="W197"/>
  <c r="AB195"/>
  <c r="X195"/>
  <c r="W195"/>
  <c r="AB193"/>
  <c r="X193"/>
  <c r="W193"/>
  <c r="AB192"/>
  <c r="X192"/>
  <c r="W192"/>
  <c r="X194"/>
  <c r="W194"/>
  <c r="AB191"/>
  <c r="X191"/>
  <c r="W191"/>
  <c r="AB190"/>
  <c r="X190"/>
  <c r="W190"/>
  <c r="AB189"/>
  <c r="X189"/>
  <c r="W189"/>
  <c r="AB185"/>
  <c r="X185"/>
  <c r="W185"/>
  <c r="AB186"/>
  <c r="X186"/>
  <c r="W186"/>
  <c r="AB188"/>
  <c r="X188"/>
  <c r="W188"/>
  <c r="AB187"/>
  <c r="X187"/>
  <c r="W187"/>
  <c r="AB184"/>
  <c r="X184"/>
  <c r="W184"/>
  <c r="AB177"/>
  <c r="X177"/>
  <c r="W177"/>
  <c r="X175"/>
  <c r="W175"/>
  <c r="X174"/>
  <c r="W174"/>
  <c r="X173"/>
  <c r="W173"/>
  <c r="X172"/>
  <c r="W172"/>
  <c r="X171"/>
  <c r="W171"/>
  <c r="AB170"/>
  <c r="X170"/>
  <c r="W170"/>
  <c r="AB169"/>
  <c r="X169"/>
  <c r="W169"/>
  <c r="AB166"/>
  <c r="X166"/>
  <c r="W166"/>
  <c r="AB165"/>
  <c r="X165"/>
  <c r="W165"/>
  <c r="AB168"/>
  <c r="X168"/>
  <c r="W168"/>
  <c r="AB167"/>
  <c r="X167"/>
  <c r="W167"/>
  <c r="AB163"/>
  <c r="X163"/>
  <c r="W163"/>
  <c r="AB162"/>
  <c r="X162"/>
  <c r="W162"/>
  <c r="AB164"/>
  <c r="X164"/>
  <c r="W164"/>
  <c r="AB161"/>
  <c r="X161"/>
  <c r="W161"/>
  <c r="AB160"/>
  <c r="X160"/>
  <c r="W160"/>
  <c r="AB159"/>
  <c r="X159"/>
  <c r="W159"/>
  <c r="AB156"/>
  <c r="AB157"/>
  <c r="AB149"/>
  <c r="X149"/>
  <c r="W149"/>
  <c r="AB148"/>
  <c r="X148"/>
  <c r="W148"/>
  <c r="AB147"/>
  <c r="X147"/>
  <c r="W147"/>
  <c r="AB146"/>
  <c r="X146"/>
  <c r="W146"/>
  <c r="AB145"/>
  <c r="X145"/>
  <c r="W145"/>
  <c r="AB143"/>
  <c r="X143"/>
  <c r="W143"/>
  <c r="AB144"/>
  <c r="X144"/>
  <c r="W144"/>
  <c r="AB141"/>
  <c r="X141"/>
  <c r="W141"/>
  <c r="AB142"/>
  <c r="X142"/>
  <c r="W142"/>
  <c r="AB140"/>
  <c r="X140"/>
  <c r="W140"/>
  <c r="AB139"/>
  <c r="X139"/>
  <c r="W139"/>
  <c r="AB132"/>
  <c r="X132"/>
  <c r="W132"/>
  <c r="X124"/>
  <c r="W124"/>
  <c r="X130"/>
  <c r="W130"/>
  <c r="X128"/>
  <c r="W128"/>
  <c r="X126"/>
  <c r="W126"/>
  <c r="X127"/>
  <c r="W127"/>
  <c r="X129"/>
  <c r="W129"/>
  <c r="X125"/>
  <c r="Y125" s="1"/>
  <c r="W125"/>
  <c r="AB123"/>
  <c r="X123"/>
  <c r="W123"/>
  <c r="AB122"/>
  <c r="X122"/>
  <c r="W122"/>
  <c r="AB119"/>
  <c r="X119"/>
  <c r="W119"/>
  <c r="AB121"/>
  <c r="X121"/>
  <c r="W121"/>
  <c r="AB120"/>
  <c r="X120"/>
  <c r="W120"/>
  <c r="Y120" s="1"/>
  <c r="AB118"/>
  <c r="X118"/>
  <c r="W118"/>
  <c r="X117"/>
  <c r="AB116"/>
  <c r="X116"/>
  <c r="W116"/>
  <c r="X114"/>
  <c r="W114"/>
  <c r="X111"/>
  <c r="W111"/>
  <c r="X112"/>
  <c r="W112"/>
  <c r="X110"/>
  <c r="W110"/>
  <c r="X107"/>
  <c r="W107"/>
  <c r="X98"/>
  <c r="Y98" s="1"/>
  <c r="W98"/>
  <c r="X109"/>
  <c r="Y109" s="1"/>
  <c r="W109"/>
  <c r="X108"/>
  <c r="Y108" s="1"/>
  <c r="W108"/>
  <c r="X104"/>
  <c r="Y104" s="1"/>
  <c r="W104"/>
  <c r="X113"/>
  <c r="W113"/>
  <c r="X99"/>
  <c r="Y99" s="1"/>
  <c r="W99"/>
  <c r="X106"/>
  <c r="Y106" s="1"/>
  <c r="W106"/>
  <c r="X100"/>
  <c r="Y100" s="1"/>
  <c r="W100"/>
  <c r="X101"/>
  <c r="Y101" s="1"/>
  <c r="W101"/>
  <c r="X102"/>
  <c r="Y102" s="1"/>
  <c r="W102"/>
  <c r="X97"/>
  <c r="Y97" s="1"/>
  <c r="W97"/>
  <c r="AB95"/>
  <c r="X95"/>
  <c r="W95"/>
  <c r="AB96"/>
  <c r="X96"/>
  <c r="Y96" s="1"/>
  <c r="W96"/>
  <c r="AB92"/>
  <c r="X92"/>
  <c r="W92"/>
  <c r="AB93"/>
  <c r="X93"/>
  <c r="W93"/>
  <c r="X103"/>
  <c r="W103"/>
  <c r="AB94"/>
  <c r="X94"/>
  <c r="W94"/>
  <c r="AB91"/>
  <c r="X91"/>
  <c r="W91"/>
  <c r="AB90"/>
  <c r="X90"/>
  <c r="W90"/>
  <c r="AB83"/>
  <c r="X83"/>
  <c r="W83"/>
  <c r="X77"/>
  <c r="W77"/>
  <c r="X81"/>
  <c r="W81"/>
  <c r="X80"/>
  <c r="W80"/>
  <c r="AB76"/>
  <c r="X76"/>
  <c r="W76"/>
  <c r="X78"/>
  <c r="W78"/>
  <c r="X79"/>
  <c r="W79"/>
  <c r="AB74"/>
  <c r="X74"/>
  <c r="Y74" s="1"/>
  <c r="W74"/>
  <c r="AB73"/>
  <c r="X73"/>
  <c r="W73"/>
  <c r="AB72"/>
  <c r="X72"/>
  <c r="Y72" s="1"/>
  <c r="W72"/>
  <c r="AB70"/>
  <c r="X70"/>
  <c r="W70"/>
  <c r="X75"/>
  <c r="W75"/>
  <c r="AB68"/>
  <c r="X68"/>
  <c r="W68"/>
  <c r="AB65"/>
  <c r="X65"/>
  <c r="W65"/>
  <c r="AB69"/>
  <c r="X69"/>
  <c r="W69"/>
  <c r="AB71"/>
  <c r="X71"/>
  <c r="W71"/>
  <c r="X67"/>
  <c r="W67"/>
  <c r="X66"/>
  <c r="AB64"/>
  <c r="X64"/>
  <c r="W64"/>
  <c r="X62"/>
  <c r="W62"/>
  <c r="W61"/>
  <c r="X60"/>
  <c r="Y60" s="1"/>
  <c r="W60"/>
  <c r="X57"/>
  <c r="Y57" s="1"/>
  <c r="W57"/>
  <c r="X59"/>
  <c r="Y59" s="1"/>
  <c r="W59"/>
  <c r="W58"/>
  <c r="X55"/>
  <c r="W55"/>
  <c r="X52"/>
  <c r="W52"/>
  <c r="X54"/>
  <c r="W54"/>
  <c r="W49"/>
  <c r="X53"/>
  <c r="Y53" s="1"/>
  <c r="W53"/>
  <c r="X51"/>
  <c r="W51"/>
  <c r="X50"/>
  <c r="W50"/>
  <c r="W47"/>
  <c r="AB48"/>
  <c r="X48"/>
  <c r="W48"/>
  <c r="AB46"/>
  <c r="X46"/>
  <c r="W46"/>
  <c r="AB44"/>
  <c r="X44"/>
  <c r="W44"/>
  <c r="W45"/>
  <c r="AB43"/>
  <c r="X43"/>
  <c r="W43"/>
  <c r="AB36"/>
  <c r="X36"/>
  <c r="W36"/>
  <c r="X34"/>
  <c r="W34"/>
  <c r="X29"/>
  <c r="W29"/>
  <c r="X33"/>
  <c r="W33"/>
  <c r="X32"/>
  <c r="W32"/>
  <c r="X24"/>
  <c r="W24"/>
  <c r="AB26"/>
  <c r="X26"/>
  <c r="W26"/>
  <c r="AB28"/>
  <c r="X28"/>
  <c r="W28"/>
  <c r="X31"/>
  <c r="W31"/>
  <c r="AB27"/>
  <c r="X27"/>
  <c r="W27"/>
  <c r="AB25"/>
  <c r="X25"/>
  <c r="W25"/>
  <c r="AB23"/>
  <c r="X23"/>
  <c r="W23"/>
  <c r="AB21"/>
  <c r="X21"/>
  <c r="W21"/>
  <c r="AB22"/>
  <c r="X22"/>
  <c r="W22"/>
  <c r="AB20"/>
  <c r="X20"/>
  <c r="W20"/>
  <c r="W19"/>
  <c r="AB18"/>
  <c r="X18"/>
  <c r="W18"/>
  <c r="X16"/>
  <c r="W16"/>
  <c r="X15"/>
  <c r="W15"/>
  <c r="X14"/>
  <c r="W14"/>
  <c r="X13"/>
  <c r="W13"/>
  <c r="X12"/>
  <c r="W12"/>
  <c r="X11"/>
  <c r="W11"/>
  <c r="X10"/>
  <c r="W10"/>
  <c r="AB9"/>
  <c r="X9"/>
  <c r="W9"/>
  <c r="AB8"/>
  <c r="X8"/>
  <c r="W8"/>
  <c r="AB6"/>
  <c r="X6"/>
  <c r="W6"/>
  <c r="AB7"/>
  <c r="X7"/>
  <c r="W7"/>
  <c r="AB5"/>
  <c r="X5"/>
  <c r="W5"/>
  <c r="BC65" i="12"/>
  <c r="BA65"/>
  <c r="AV65"/>
  <c r="AT65"/>
  <c r="AS65"/>
  <c r="AR65"/>
  <c r="BC64"/>
  <c r="BA64"/>
  <c r="AV64"/>
  <c r="AT64"/>
  <c r="AS64"/>
  <c r="AR64"/>
  <c r="BC55"/>
  <c r="BA55"/>
  <c r="AV55"/>
  <c r="AT55"/>
  <c r="AS55"/>
  <c r="AR55"/>
  <c r="BC54"/>
  <c r="BA54"/>
  <c r="AV54"/>
  <c r="AT54"/>
  <c r="AS54"/>
  <c r="AR54"/>
  <c r="BC51"/>
  <c r="BA51"/>
  <c r="AV51"/>
  <c r="AT51"/>
  <c r="AS51"/>
  <c r="AR51"/>
  <c r="BC50"/>
  <c r="BA50"/>
  <c r="AV50"/>
  <c r="AT50"/>
  <c r="AS50"/>
  <c r="AR50"/>
  <c r="BC49"/>
  <c r="BA49"/>
  <c r="AV49"/>
  <c r="AT49"/>
  <c r="AS49"/>
  <c r="AS53" s="1"/>
  <c r="AR49"/>
  <c r="AR53" s="1"/>
  <c r="BC48"/>
  <c r="BA48"/>
  <c r="AV48"/>
  <c r="AV52" s="1"/>
  <c r="AT48"/>
  <c r="AT52" s="1"/>
  <c r="AS48"/>
  <c r="AS52" s="1"/>
  <c r="AR48"/>
  <c r="AR52" s="1"/>
  <c r="BC47"/>
  <c r="BA47"/>
  <c r="AV47"/>
  <c r="AT47"/>
  <c r="AS47"/>
  <c r="AR47"/>
  <c r="BC46"/>
  <c r="BA46"/>
  <c r="AV46"/>
  <c r="AT46"/>
  <c r="AS46"/>
  <c r="AR46"/>
  <c r="BC43"/>
  <c r="BA43"/>
  <c r="AV43"/>
  <c r="AT43"/>
  <c r="AS43"/>
  <c r="AR43"/>
  <c r="BC42"/>
  <c r="BA42"/>
  <c r="AV42"/>
  <c r="AT42"/>
  <c r="AS42"/>
  <c r="AR42"/>
  <c r="BC41"/>
  <c r="BA41"/>
  <c r="AV41"/>
  <c r="AT41"/>
  <c r="AS41"/>
  <c r="AS45" s="1"/>
  <c r="AR41"/>
  <c r="AR45" s="1"/>
  <c r="BC40"/>
  <c r="BA40"/>
  <c r="AV40"/>
  <c r="AT40"/>
  <c r="AT44" s="1"/>
  <c r="AS40"/>
  <c r="AR40"/>
  <c r="AR44" s="1"/>
  <c r="BC39"/>
  <c r="BA39"/>
  <c r="AV39"/>
  <c r="AT39"/>
  <c r="AS39"/>
  <c r="AR39"/>
  <c r="BC38"/>
  <c r="BA38"/>
  <c r="AV38"/>
  <c r="AT38"/>
  <c r="AS38"/>
  <c r="AR38"/>
  <c r="BC35"/>
  <c r="BA35"/>
  <c r="AV35"/>
  <c r="AT35"/>
  <c r="AS35"/>
  <c r="AR35"/>
  <c r="BC34"/>
  <c r="BA34"/>
  <c r="AV34"/>
  <c r="AT34"/>
  <c r="AS34"/>
  <c r="AR34"/>
  <c r="BC33"/>
  <c r="BA33"/>
  <c r="AV33"/>
  <c r="AT33"/>
  <c r="AT37" s="1"/>
  <c r="AS33"/>
  <c r="AS37" s="1"/>
  <c r="AR33"/>
  <c r="AR37" s="1"/>
  <c r="BC32"/>
  <c r="BA32"/>
  <c r="AV32"/>
  <c r="AV36" s="1"/>
  <c r="AT32"/>
  <c r="AT36" s="1"/>
  <c r="AS32"/>
  <c r="AR32"/>
  <c r="AR36" s="1"/>
  <c r="BC31"/>
  <c r="BA31"/>
  <c r="AV31"/>
  <c r="AT31"/>
  <c r="AS31"/>
  <c r="AR31"/>
  <c r="BC30"/>
  <c r="BA30"/>
  <c r="AV30"/>
  <c r="AT30"/>
  <c r="AS30"/>
  <c r="AR30"/>
  <c r="BC27"/>
  <c r="BA27"/>
  <c r="AV27"/>
  <c r="AT27"/>
  <c r="AS27"/>
  <c r="AR27"/>
  <c r="BC26"/>
  <c r="BA26"/>
  <c r="AV26"/>
  <c r="AT26"/>
  <c r="AS26"/>
  <c r="AR26"/>
  <c r="BC25"/>
  <c r="BA25"/>
  <c r="AV25"/>
  <c r="AT25"/>
  <c r="AS25"/>
  <c r="AS29" s="1"/>
  <c r="AR25"/>
  <c r="AR29" s="1"/>
  <c r="BC24"/>
  <c r="BA24"/>
  <c r="AV24"/>
  <c r="AV28" s="1"/>
  <c r="AT24"/>
  <c r="AT28" s="1"/>
  <c r="AS24"/>
  <c r="AS28" s="1"/>
  <c r="AR24"/>
  <c r="AR28" s="1"/>
  <c r="BC23"/>
  <c r="BA23"/>
  <c r="AV23"/>
  <c r="AT23"/>
  <c r="AS23"/>
  <c r="AR23"/>
  <c r="BC22"/>
  <c r="BA22"/>
  <c r="AV22"/>
  <c r="AT22"/>
  <c r="AS22"/>
  <c r="AR22"/>
  <c r="BC19"/>
  <c r="BA19"/>
  <c r="AV19"/>
  <c r="AT19"/>
  <c r="AS19"/>
  <c r="AR19"/>
  <c r="BC18"/>
  <c r="BA18"/>
  <c r="AV18"/>
  <c r="AT18"/>
  <c r="AS18"/>
  <c r="AR18"/>
  <c r="BC17"/>
  <c r="BA17"/>
  <c r="AV17"/>
  <c r="AT17"/>
  <c r="AS17"/>
  <c r="AS21" s="1"/>
  <c r="AR17"/>
  <c r="AR21" s="1"/>
  <c r="BC16"/>
  <c r="BA16"/>
  <c r="AV16"/>
  <c r="AV20" s="1"/>
  <c r="AT16"/>
  <c r="AT20" s="1"/>
  <c r="AS16"/>
  <c r="AR16"/>
  <c r="AR20" s="1"/>
  <c r="BC15"/>
  <c r="BA15"/>
  <c r="AV15"/>
  <c r="AT15"/>
  <c r="AS15"/>
  <c r="AR15"/>
  <c r="BC14"/>
  <c r="BA14"/>
  <c r="AV14"/>
  <c r="AT14"/>
  <c r="AS14"/>
  <c r="AR14"/>
  <c r="BC11"/>
  <c r="BA11"/>
  <c r="AV11"/>
  <c r="AV59" s="1"/>
  <c r="AT11"/>
  <c r="AT59" s="1"/>
  <c r="AS11"/>
  <c r="AS59" s="1"/>
  <c r="AR11"/>
  <c r="AR59" s="1"/>
  <c r="BC10"/>
  <c r="BA10"/>
  <c r="AV10"/>
  <c r="AV58" s="1"/>
  <c r="AT10"/>
  <c r="AT58" s="1"/>
  <c r="AS10"/>
  <c r="AR10"/>
  <c r="AR58" s="1"/>
  <c r="BC9"/>
  <c r="BA9"/>
  <c r="AV9"/>
  <c r="AT9"/>
  <c r="AT57" s="1"/>
  <c r="AS9"/>
  <c r="AS57" s="1"/>
  <c r="AR9"/>
  <c r="AR57" s="1"/>
  <c r="BC8"/>
  <c r="BA8"/>
  <c r="AV8"/>
  <c r="AV56" s="1"/>
  <c r="AT8"/>
  <c r="AT56" s="1"/>
  <c r="AS8"/>
  <c r="AR8"/>
  <c r="AR56" s="1"/>
  <c r="AD103" i="2"/>
  <c r="Z103"/>
  <c r="Y103"/>
  <c r="AD102"/>
  <c r="Z102"/>
  <c r="Y102"/>
  <c r="AD100"/>
  <c r="Z100"/>
  <c r="Y100"/>
  <c r="AD99"/>
  <c r="Z99"/>
  <c r="Y99"/>
  <c r="AD94"/>
  <c r="Z94"/>
  <c r="Y94"/>
  <c r="AD93"/>
  <c r="Z93"/>
  <c r="Z96" s="1"/>
  <c r="Y93"/>
  <c r="AD91"/>
  <c r="Z91"/>
  <c r="Y91"/>
  <c r="AD90"/>
  <c r="Z90"/>
  <c r="Y90"/>
  <c r="AD85"/>
  <c r="Z85"/>
  <c r="Y85"/>
  <c r="AD84"/>
  <c r="Z84"/>
  <c r="Z87" s="1"/>
  <c r="Y84"/>
  <c r="AD82"/>
  <c r="Z82"/>
  <c r="Y82"/>
  <c r="AD81"/>
  <c r="Z81"/>
  <c r="Y81"/>
  <c r="AD76"/>
  <c r="Z76"/>
  <c r="Y76"/>
  <c r="AD75"/>
  <c r="Z75"/>
  <c r="Y75"/>
  <c r="AD73"/>
  <c r="Z73"/>
  <c r="Y73"/>
  <c r="AD72"/>
  <c r="Z72"/>
  <c r="Y72"/>
  <c r="AD67"/>
  <c r="Z67"/>
  <c r="Y67"/>
  <c r="AD66"/>
  <c r="Z66"/>
  <c r="Z69" s="1"/>
  <c r="Y66"/>
  <c r="AD64"/>
  <c r="Z64"/>
  <c r="Y64"/>
  <c r="AD63"/>
  <c r="Z63"/>
  <c r="Y63"/>
  <c r="AD58"/>
  <c r="Z58"/>
  <c r="Y58"/>
  <c r="AD57"/>
  <c r="Z57"/>
  <c r="Y57"/>
  <c r="AD55"/>
  <c r="Z55"/>
  <c r="Y55"/>
  <c r="AD54"/>
  <c r="Z54"/>
  <c r="Y54"/>
  <c r="AD52"/>
  <c r="Z52"/>
  <c r="Y52"/>
  <c r="AD51"/>
  <c r="Z51"/>
  <c r="Y51"/>
  <c r="AD49"/>
  <c r="Z49"/>
  <c r="Y49"/>
  <c r="AD48"/>
  <c r="Z48"/>
  <c r="Y48"/>
  <c r="AD46"/>
  <c r="Z46"/>
  <c r="Y46"/>
  <c r="AD45"/>
  <c r="Z45"/>
  <c r="Y45"/>
  <c r="AD43"/>
  <c r="Z43"/>
  <c r="Y43"/>
  <c r="AD42"/>
  <c r="Z42"/>
  <c r="Y42"/>
  <c r="AD37"/>
  <c r="Z37"/>
  <c r="Y37"/>
  <c r="AD36"/>
  <c r="Z36"/>
  <c r="Y36"/>
  <c r="AD34"/>
  <c r="Z34"/>
  <c r="Y34"/>
  <c r="AD33"/>
  <c r="Z33"/>
  <c r="Y33"/>
  <c r="AD28"/>
  <c r="Z28"/>
  <c r="Y28"/>
  <c r="AD27"/>
  <c r="Z27"/>
  <c r="Y27"/>
  <c r="AD25"/>
  <c r="Z25"/>
  <c r="Y25"/>
  <c r="AD24"/>
  <c r="Z24"/>
  <c r="Y24"/>
  <c r="AD22"/>
  <c r="Z22"/>
  <c r="Y22"/>
  <c r="AD21"/>
  <c r="Z21"/>
  <c r="Y21"/>
  <c r="AD19"/>
  <c r="Z19"/>
  <c r="Y19"/>
  <c r="AD18"/>
  <c r="Z18"/>
  <c r="Y18"/>
  <c r="AD16"/>
  <c r="Z16"/>
  <c r="Y16"/>
  <c r="AD15"/>
  <c r="Z15"/>
  <c r="Y15"/>
  <c r="AD13"/>
  <c r="Z13"/>
  <c r="Y13"/>
  <c r="AD12"/>
  <c r="Z12"/>
  <c r="Y12"/>
  <c r="AD7"/>
  <c r="Z7"/>
  <c r="Y7"/>
  <c r="AD6"/>
  <c r="Z6"/>
  <c r="Y6"/>
  <c r="AA55" i="13"/>
  <c r="Z55"/>
  <c r="AA54"/>
  <c r="Z54"/>
  <c r="AA52"/>
  <c r="Z52"/>
  <c r="AA51"/>
  <c r="Z51"/>
  <c r="AA49"/>
  <c r="Z49"/>
  <c r="AA48"/>
  <c r="Z48"/>
  <c r="AA46"/>
  <c r="Z46"/>
  <c r="AA45"/>
  <c r="Z45"/>
  <c r="AA43"/>
  <c r="Z43"/>
  <c r="AA42"/>
  <c r="Z42"/>
  <c r="AA40"/>
  <c r="Z40"/>
  <c r="AA39"/>
  <c r="Z39"/>
  <c r="AA37"/>
  <c r="Z37"/>
  <c r="AA36"/>
  <c r="Z36"/>
  <c r="AA25"/>
  <c r="Z25"/>
  <c r="AA24"/>
  <c r="Z24"/>
  <c r="AA22"/>
  <c r="Z22"/>
  <c r="AA21"/>
  <c r="Z21"/>
  <c r="AA19"/>
  <c r="Z19"/>
  <c r="AA18"/>
  <c r="Z18"/>
  <c r="AA16"/>
  <c r="Z16"/>
  <c r="AA15"/>
  <c r="Z15"/>
  <c r="AA13"/>
  <c r="Z13"/>
  <c r="AA12"/>
  <c r="Z12"/>
  <c r="AA10"/>
  <c r="Z10"/>
  <c r="AA9"/>
  <c r="Z9"/>
  <c r="AA7"/>
  <c r="Z7"/>
  <c r="AA6"/>
  <c r="Z6"/>
  <c r="W215" i="10"/>
  <c r="V127" i="7"/>
  <c r="V60"/>
  <c r="V123" i="11"/>
  <c r="V43"/>
  <c r="W331" i="10"/>
  <c r="W38"/>
  <c r="W41"/>
  <c r="W20"/>
  <c r="V34" i="9"/>
  <c r="W71" i="8"/>
  <c r="W89"/>
  <c r="V8" i="16"/>
  <c r="R14"/>
  <c r="R5"/>
  <c r="R12"/>
  <c r="O22" i="14"/>
  <c r="O24"/>
  <c r="O25"/>
  <c r="O27"/>
  <c r="O30"/>
  <c r="O32"/>
  <c r="O34"/>
  <c r="S11"/>
  <c r="R187" i="11"/>
  <c r="R152"/>
  <c r="R156"/>
  <c r="R151"/>
  <c r="R153"/>
  <c r="R155"/>
  <c r="R157"/>
  <c r="R160"/>
  <c r="R91"/>
  <c r="R57"/>
  <c r="R14"/>
  <c r="W15" i="10"/>
  <c r="W13"/>
  <c r="R185" i="7"/>
  <c r="R194"/>
  <c r="R197"/>
  <c r="R201"/>
  <c r="R184"/>
  <c r="Q207"/>
  <c r="Q210"/>
  <c r="N21" i="14"/>
  <c r="N24"/>
  <c r="N31"/>
  <c r="N27"/>
  <c r="N29"/>
  <c r="N32"/>
  <c r="N8"/>
  <c r="Q176" i="11"/>
  <c r="Q187"/>
  <c r="Q128"/>
  <c r="Q124"/>
  <c r="V100"/>
  <c r="V78"/>
  <c r="V83"/>
  <c r="Q54"/>
  <c r="Q57"/>
  <c r="V10"/>
  <c r="Q16"/>
  <c r="Q25"/>
  <c r="W186" i="10"/>
  <c r="W195"/>
  <c r="W194"/>
  <c r="V25" i="16"/>
  <c r="R25"/>
  <c r="Q25"/>
  <c r="R23"/>
  <c r="Q23"/>
  <c r="R22"/>
  <c r="Q22"/>
  <c r="R21"/>
  <c r="Q21"/>
  <c r="R19"/>
  <c r="Q19"/>
  <c r="R18"/>
  <c r="Q18"/>
  <c r="R17"/>
  <c r="Q17"/>
  <c r="V16"/>
  <c r="R16"/>
  <c r="Q16"/>
  <c r="R10"/>
  <c r="Q10"/>
  <c r="Q14"/>
  <c r="R13"/>
  <c r="Q13"/>
  <c r="Q12"/>
  <c r="R9"/>
  <c r="Q9"/>
  <c r="R11"/>
  <c r="Q11"/>
  <c r="V7"/>
  <c r="R7"/>
  <c r="Q7"/>
  <c r="Q8"/>
  <c r="Q5"/>
  <c r="R6"/>
  <c r="S6" s="1"/>
  <c r="Q6"/>
  <c r="S36" i="14"/>
  <c r="O36"/>
  <c r="N36"/>
  <c r="N34"/>
  <c r="O33"/>
  <c r="N33"/>
  <c r="S29"/>
  <c r="O29"/>
  <c r="P29" s="1"/>
  <c r="N30"/>
  <c r="S28"/>
  <c r="O28"/>
  <c r="P28" s="1"/>
  <c r="N28"/>
  <c r="S27"/>
  <c r="O31"/>
  <c r="S25"/>
  <c r="N25"/>
  <c r="S26"/>
  <c r="O26"/>
  <c r="N26"/>
  <c r="S24"/>
  <c r="S21"/>
  <c r="O21"/>
  <c r="S22"/>
  <c r="N22"/>
  <c r="S23"/>
  <c r="O23"/>
  <c r="N23"/>
  <c r="O20"/>
  <c r="S19"/>
  <c r="O19"/>
  <c r="N19"/>
  <c r="O17"/>
  <c r="N17"/>
  <c r="O16"/>
  <c r="N16"/>
  <c r="O15"/>
  <c r="N15"/>
  <c r="O14"/>
  <c r="N14"/>
  <c r="O7"/>
  <c r="N7"/>
  <c r="O6"/>
  <c r="N6"/>
  <c r="S10"/>
  <c r="O8"/>
  <c r="S9"/>
  <c r="S5"/>
  <c r="O5"/>
  <c r="N5"/>
  <c r="V189" i="11"/>
  <c r="R189"/>
  <c r="Q189"/>
  <c r="R178"/>
  <c r="Q178"/>
  <c r="V177"/>
  <c r="R177"/>
  <c r="Q177"/>
  <c r="V175"/>
  <c r="R175"/>
  <c r="Q175"/>
  <c r="R174"/>
  <c r="V173"/>
  <c r="R173"/>
  <c r="Q173"/>
  <c r="Q160"/>
  <c r="R158"/>
  <c r="S158" s="1"/>
  <c r="Q158"/>
  <c r="Q157"/>
  <c r="R159"/>
  <c r="Q159"/>
  <c r="Q155"/>
  <c r="Q156"/>
  <c r="V153"/>
  <c r="Q153"/>
  <c r="V154"/>
  <c r="R154"/>
  <c r="Q154"/>
  <c r="V151"/>
  <c r="Q151"/>
  <c r="V152"/>
  <c r="Q152"/>
  <c r="V150"/>
  <c r="R150"/>
  <c r="Q150"/>
  <c r="V143"/>
  <c r="R143"/>
  <c r="Q143"/>
  <c r="V130"/>
  <c r="V128"/>
  <c r="R128"/>
  <c r="V127"/>
  <c r="R127"/>
  <c r="Q127"/>
  <c r="V126"/>
  <c r="R126"/>
  <c r="Q126"/>
  <c r="R124"/>
  <c r="V122"/>
  <c r="V103"/>
  <c r="R103"/>
  <c r="Q103"/>
  <c r="V104"/>
  <c r="R104"/>
  <c r="Q104"/>
  <c r="V101"/>
  <c r="R101"/>
  <c r="Q101"/>
  <c r="V102"/>
  <c r="R102"/>
  <c r="Q102"/>
  <c r="R100"/>
  <c r="V93"/>
  <c r="R93"/>
  <c r="Q93"/>
  <c r="Q91"/>
  <c r="V81"/>
  <c r="V82"/>
  <c r="V79"/>
  <c r="R74"/>
  <c r="Q74"/>
  <c r="V77"/>
  <c r="R77"/>
  <c r="Q77"/>
  <c r="V76"/>
  <c r="R76"/>
  <c r="Q76"/>
  <c r="R75"/>
  <c r="V73"/>
  <c r="R73"/>
  <c r="Q73"/>
  <c r="V63"/>
  <c r="R58"/>
  <c r="S58" s="1"/>
  <c r="Q58"/>
  <c r="V56"/>
  <c r="R56"/>
  <c r="Q56"/>
  <c r="R54"/>
  <c r="V55"/>
  <c r="R55"/>
  <c r="Q55"/>
  <c r="R59"/>
  <c r="Q59"/>
  <c r="V47"/>
  <c r="R47"/>
  <c r="Q47"/>
  <c r="V44"/>
  <c r="V32"/>
  <c r="V31"/>
  <c r="V30"/>
  <c r="R30"/>
  <c r="Q30"/>
  <c r="V29"/>
  <c r="R29"/>
  <c r="Q29"/>
  <c r="V28"/>
  <c r="R28"/>
  <c r="Q28"/>
  <c r="V27"/>
  <c r="R27"/>
  <c r="Q27"/>
  <c r="R18"/>
  <c r="Q18"/>
  <c r="R15"/>
  <c r="Q15"/>
  <c r="R25"/>
  <c r="R17"/>
  <c r="V13"/>
  <c r="R13"/>
  <c r="Q13"/>
  <c r="R16"/>
  <c r="V8"/>
  <c r="R8"/>
  <c r="Q8"/>
  <c r="R10"/>
  <c r="Q10"/>
  <c r="V12"/>
  <c r="R12"/>
  <c r="Q12"/>
  <c r="V11"/>
  <c r="R11"/>
  <c r="Q11"/>
  <c r="V7"/>
  <c r="R7"/>
  <c r="Q7"/>
  <c r="V9"/>
  <c r="R9"/>
  <c r="Q9"/>
  <c r="V5"/>
  <c r="R5"/>
  <c r="Q5"/>
  <c r="V6"/>
  <c r="R6"/>
  <c r="Q6"/>
  <c r="W344" i="10"/>
  <c r="W329"/>
  <c r="W332"/>
  <c r="W330"/>
  <c r="W328"/>
  <c r="W327"/>
  <c r="W326"/>
  <c r="W313"/>
  <c r="W312"/>
  <c r="W311"/>
  <c r="W310"/>
  <c r="W309"/>
  <c r="W302"/>
  <c r="W285"/>
  <c r="W284"/>
  <c r="W283"/>
  <c r="W282"/>
  <c r="W262"/>
  <c r="W261"/>
  <c r="W260"/>
  <c r="W259"/>
  <c r="W250"/>
  <c r="W233"/>
  <c r="W236"/>
  <c r="W234"/>
  <c r="W235"/>
  <c r="W232"/>
  <c r="W229"/>
  <c r="W231"/>
  <c r="W230"/>
  <c r="W228"/>
  <c r="W227"/>
  <c r="W214"/>
  <c r="W213"/>
  <c r="W212"/>
  <c r="W205"/>
  <c r="W203"/>
  <c r="W192"/>
  <c r="W190"/>
  <c r="W185"/>
  <c r="W188"/>
  <c r="W191"/>
  <c r="W183"/>
  <c r="W182"/>
  <c r="W181"/>
  <c r="W180"/>
  <c r="W177"/>
  <c r="W166"/>
  <c r="W167"/>
  <c r="W165"/>
  <c r="W164"/>
  <c r="W163"/>
  <c r="W162"/>
  <c r="W153"/>
  <c r="W132"/>
  <c r="W130"/>
  <c r="W128"/>
  <c r="W113"/>
  <c r="W112"/>
  <c r="W111"/>
  <c r="W105"/>
  <c r="W92"/>
  <c r="W91"/>
  <c r="W90"/>
  <c r="W69"/>
  <c r="W68"/>
  <c r="W67"/>
  <c r="W66"/>
  <c r="W59"/>
  <c r="W50"/>
  <c r="W49"/>
  <c r="W48"/>
  <c r="W47"/>
  <c r="W36"/>
  <c r="W45"/>
  <c r="W39"/>
  <c r="W40"/>
  <c r="W35"/>
  <c r="W34"/>
  <c r="W33"/>
  <c r="W31"/>
  <c r="W32"/>
  <c r="W29"/>
  <c r="W30"/>
  <c r="W28"/>
  <c r="W19"/>
  <c r="W16"/>
  <c r="W14"/>
  <c r="W12"/>
  <c r="R49" i="9"/>
  <c r="R47"/>
  <c r="Q47"/>
  <c r="R46"/>
  <c r="Q46"/>
  <c r="R45"/>
  <c r="Q45"/>
  <c r="R34"/>
  <c r="Q34"/>
  <c r="V33"/>
  <c r="R33"/>
  <c r="Q33"/>
  <c r="V32"/>
  <c r="R32"/>
  <c r="Q32"/>
  <c r="V30"/>
  <c r="R30"/>
  <c r="S30" s="1"/>
  <c r="Q30"/>
  <c r="V7"/>
  <c r="R7"/>
  <c r="Q7"/>
  <c r="V6"/>
  <c r="R6"/>
  <c r="Q6"/>
  <c r="V5"/>
  <c r="R5"/>
  <c r="Q5"/>
  <c r="S95" i="8"/>
  <c r="R95"/>
  <c r="W78"/>
  <c r="S93"/>
  <c r="R93"/>
  <c r="W73"/>
  <c r="W72"/>
  <c r="S72"/>
  <c r="R72"/>
  <c r="S71"/>
  <c r="R71"/>
  <c r="W69"/>
  <c r="S69"/>
  <c r="R69"/>
  <c r="W75"/>
  <c r="W70"/>
  <c r="S70"/>
  <c r="R70"/>
  <c r="W79"/>
  <c r="W68"/>
  <c r="S68"/>
  <c r="R68"/>
  <c r="S67"/>
  <c r="R67"/>
  <c r="R96" s="1"/>
  <c r="W48"/>
  <c r="S48"/>
  <c r="R48"/>
  <c r="W47"/>
  <c r="S47"/>
  <c r="R47"/>
  <c r="S45"/>
  <c r="R45"/>
  <c r="S43"/>
  <c r="R43"/>
  <c r="S42"/>
  <c r="R42"/>
  <c r="S40"/>
  <c r="R40"/>
  <c r="S41"/>
  <c r="R41"/>
  <c r="S39"/>
  <c r="R39"/>
  <c r="W36"/>
  <c r="S36"/>
  <c r="R36"/>
  <c r="W38"/>
  <c r="S38"/>
  <c r="R38"/>
  <c r="W35"/>
  <c r="S35"/>
  <c r="R35"/>
  <c r="W33"/>
  <c r="S33"/>
  <c r="R33"/>
  <c r="W37"/>
  <c r="S37"/>
  <c r="R37"/>
  <c r="W34"/>
  <c r="S34"/>
  <c r="R34"/>
  <c r="W32"/>
  <c r="S32"/>
  <c r="R32"/>
  <c r="W31"/>
  <c r="S31"/>
  <c r="R31"/>
  <c r="W30"/>
  <c r="S30"/>
  <c r="R30"/>
  <c r="S28"/>
  <c r="R28"/>
  <c r="S27"/>
  <c r="R27"/>
  <c r="S26"/>
  <c r="R26"/>
  <c r="S25"/>
  <c r="R25"/>
  <c r="S24"/>
  <c r="R24"/>
  <c r="S8"/>
  <c r="R8"/>
  <c r="W7"/>
  <c r="S7"/>
  <c r="R7"/>
  <c r="W6"/>
  <c r="S6"/>
  <c r="R6"/>
  <c r="V270" i="7"/>
  <c r="R270"/>
  <c r="Q270"/>
  <c r="R265"/>
  <c r="Q265"/>
  <c r="R268"/>
  <c r="Q268"/>
  <c r="R266"/>
  <c r="Q266"/>
  <c r="R261"/>
  <c r="Q261"/>
  <c r="R263"/>
  <c r="Q263"/>
  <c r="R267"/>
  <c r="Q267"/>
  <c r="R262"/>
  <c r="Q262"/>
  <c r="V258"/>
  <c r="R258"/>
  <c r="Q258"/>
  <c r="R264"/>
  <c r="Q264"/>
  <c r="R260"/>
  <c r="S260" s="1"/>
  <c r="Q260"/>
  <c r="V259"/>
  <c r="R259"/>
  <c r="Q259"/>
  <c r="V257"/>
  <c r="R257"/>
  <c r="Q257"/>
  <c r="V255"/>
  <c r="R255"/>
  <c r="Q255"/>
  <c r="V256"/>
  <c r="R256"/>
  <c r="Q256"/>
  <c r="V254"/>
  <c r="R254"/>
  <c r="Q254"/>
  <c r="V252"/>
  <c r="R252"/>
  <c r="Q252"/>
  <c r="V251"/>
  <c r="V250"/>
  <c r="V248"/>
  <c r="V246"/>
  <c r="V245"/>
  <c r="V247"/>
  <c r="V244"/>
  <c r="V249"/>
  <c r="V234"/>
  <c r="R234"/>
  <c r="Q234"/>
  <c r="V231"/>
  <c r="R231"/>
  <c r="Q231"/>
  <c r="V232"/>
  <c r="R232"/>
  <c r="Q232"/>
  <c r="V230"/>
  <c r="R230"/>
  <c r="Q230"/>
  <c r="V233"/>
  <c r="R233"/>
  <c r="Q233"/>
  <c r="V229"/>
  <c r="R229"/>
  <c r="Q229"/>
  <c r="V228"/>
  <c r="R228"/>
  <c r="Q228"/>
  <c r="V221"/>
  <c r="R221"/>
  <c r="Q221"/>
  <c r="V219"/>
  <c r="R219"/>
  <c r="Q219"/>
  <c r="V213"/>
  <c r="V212"/>
  <c r="V218"/>
  <c r="R210"/>
  <c r="V211"/>
  <c r="V209"/>
  <c r="R209"/>
  <c r="Q209"/>
  <c r="V208"/>
  <c r="R208"/>
  <c r="Q208"/>
  <c r="R207"/>
  <c r="V206"/>
  <c r="R206"/>
  <c r="Q206"/>
  <c r="V205"/>
  <c r="R205"/>
  <c r="Q205"/>
  <c r="R203"/>
  <c r="Q203"/>
  <c r="R202"/>
  <c r="Q202"/>
  <c r="R200"/>
  <c r="Q200"/>
  <c r="Q201"/>
  <c r="V198"/>
  <c r="R198"/>
  <c r="Q198"/>
  <c r="V196"/>
  <c r="R196"/>
  <c r="S196" s="1"/>
  <c r="Q196"/>
  <c r="V199"/>
  <c r="R199"/>
  <c r="S199" s="1"/>
  <c r="Q199"/>
  <c r="Q197"/>
  <c r="V195"/>
  <c r="R195"/>
  <c r="S195" s="1"/>
  <c r="Q195"/>
  <c r="V193"/>
  <c r="R193"/>
  <c r="Q193"/>
  <c r="V192"/>
  <c r="R192"/>
  <c r="Q192"/>
  <c r="Q194"/>
  <c r="V191"/>
  <c r="R191"/>
  <c r="Q191"/>
  <c r="V190"/>
  <c r="R190"/>
  <c r="S190" s="1"/>
  <c r="Q190"/>
  <c r="V189"/>
  <c r="R189"/>
  <c r="S189" s="1"/>
  <c r="Q189"/>
  <c r="Q185"/>
  <c r="V186"/>
  <c r="R186"/>
  <c r="Q186"/>
  <c r="V188"/>
  <c r="R188"/>
  <c r="Q188"/>
  <c r="V187"/>
  <c r="R187"/>
  <c r="Q187"/>
  <c r="Q184"/>
  <c r="V177"/>
  <c r="R177"/>
  <c r="Q177"/>
  <c r="R175"/>
  <c r="Q175"/>
  <c r="R174"/>
  <c r="Q174"/>
  <c r="R173"/>
  <c r="Q173"/>
  <c r="R172"/>
  <c r="Q172"/>
  <c r="R171"/>
  <c r="Q171"/>
  <c r="R170"/>
  <c r="Q170"/>
  <c r="R169"/>
  <c r="Q169"/>
  <c r="V166"/>
  <c r="R166"/>
  <c r="Q166"/>
  <c r="V165"/>
  <c r="R165"/>
  <c r="Q165"/>
  <c r="R168"/>
  <c r="S168" s="1"/>
  <c r="Q168"/>
  <c r="R167"/>
  <c r="Q167"/>
  <c r="V163"/>
  <c r="R163"/>
  <c r="Q163"/>
  <c r="V162"/>
  <c r="R162"/>
  <c r="Q162"/>
  <c r="V164"/>
  <c r="R164"/>
  <c r="Q164"/>
  <c r="V161"/>
  <c r="R161"/>
  <c r="Q161"/>
  <c r="V160"/>
  <c r="R160"/>
  <c r="Q160"/>
  <c r="V159"/>
  <c r="R159"/>
  <c r="Q159"/>
  <c r="V156"/>
  <c r="R156"/>
  <c r="Q156"/>
  <c r="V157"/>
  <c r="R157"/>
  <c r="Q157"/>
  <c r="V155"/>
  <c r="R155"/>
  <c r="Q155"/>
  <c r="V148"/>
  <c r="V147"/>
  <c r="V146"/>
  <c r="V145"/>
  <c r="R145"/>
  <c r="Q145"/>
  <c r="V143"/>
  <c r="R143"/>
  <c r="Q143"/>
  <c r="V144"/>
  <c r="R144"/>
  <c r="Q144"/>
  <c r="V141"/>
  <c r="R141"/>
  <c r="Q141"/>
  <c r="V142"/>
  <c r="R142"/>
  <c r="Q142"/>
  <c r="V140"/>
  <c r="R140"/>
  <c r="Q140"/>
  <c r="V139"/>
  <c r="R139"/>
  <c r="Q139"/>
  <c r="V132"/>
  <c r="R132"/>
  <c r="Q132"/>
  <c r="R124"/>
  <c r="Q124"/>
  <c r="R130"/>
  <c r="Q130"/>
  <c r="R128"/>
  <c r="Q128"/>
  <c r="V126"/>
  <c r="R126"/>
  <c r="S126" s="1"/>
  <c r="Q126"/>
  <c r="R127"/>
  <c r="Q127"/>
  <c r="R129"/>
  <c r="Q129"/>
  <c r="R125"/>
  <c r="Q125"/>
  <c r="V123"/>
  <c r="R123"/>
  <c r="Q123"/>
  <c r="V122"/>
  <c r="R122"/>
  <c r="S122" s="1"/>
  <c r="Q122"/>
  <c r="V119"/>
  <c r="R119"/>
  <c r="Q119"/>
  <c r="V121"/>
  <c r="R121"/>
  <c r="Q121"/>
  <c r="V120"/>
  <c r="R120"/>
  <c r="Q120"/>
  <c r="V118"/>
  <c r="R118"/>
  <c r="Q118"/>
  <c r="V117"/>
  <c r="R117"/>
  <c r="Q117"/>
  <c r="V116"/>
  <c r="R116"/>
  <c r="Q116"/>
  <c r="R98"/>
  <c r="Q98"/>
  <c r="R99"/>
  <c r="Q99"/>
  <c r="R97"/>
  <c r="Q97"/>
  <c r="V95"/>
  <c r="R95"/>
  <c r="Q95"/>
  <c r="V96"/>
  <c r="R96"/>
  <c r="Q96"/>
  <c r="V92"/>
  <c r="R92"/>
  <c r="Q92"/>
  <c r="V93"/>
  <c r="R93"/>
  <c r="Q93"/>
  <c r="V94"/>
  <c r="R94"/>
  <c r="Q94"/>
  <c r="V91"/>
  <c r="R91"/>
  <c r="Q91"/>
  <c r="V90"/>
  <c r="R90"/>
  <c r="Q90"/>
  <c r="V83"/>
  <c r="R83"/>
  <c r="Q83"/>
  <c r="R77"/>
  <c r="Q77"/>
  <c r="R81"/>
  <c r="Q81"/>
  <c r="R80"/>
  <c r="Q80"/>
  <c r="R76"/>
  <c r="Q76"/>
  <c r="R78"/>
  <c r="Q78"/>
  <c r="R79"/>
  <c r="Q79"/>
  <c r="V74"/>
  <c r="R74"/>
  <c r="S74" s="1"/>
  <c r="Q74"/>
  <c r="V73"/>
  <c r="R73"/>
  <c r="Q73"/>
  <c r="V72"/>
  <c r="R72"/>
  <c r="Q72"/>
  <c r="V70"/>
  <c r="R70"/>
  <c r="S70" s="1"/>
  <c r="Q70"/>
  <c r="R75"/>
  <c r="Q75"/>
  <c r="V68"/>
  <c r="R68"/>
  <c r="Q68"/>
  <c r="V65"/>
  <c r="R65"/>
  <c r="Q65"/>
  <c r="V69"/>
  <c r="R69"/>
  <c r="S69" s="1"/>
  <c r="Q69"/>
  <c r="V71"/>
  <c r="R71"/>
  <c r="Q71"/>
  <c r="R67"/>
  <c r="S67" s="1"/>
  <c r="Q67"/>
  <c r="V66"/>
  <c r="R66"/>
  <c r="Q66"/>
  <c r="V64"/>
  <c r="R64"/>
  <c r="Q64"/>
  <c r="V57"/>
  <c r="V59"/>
  <c r="V58"/>
  <c r="R55"/>
  <c r="S55" s="1"/>
  <c r="Q55"/>
  <c r="R52"/>
  <c r="Q52"/>
  <c r="R54"/>
  <c r="S54" s="1"/>
  <c r="Q54"/>
  <c r="V49"/>
  <c r="R49"/>
  <c r="Q49"/>
  <c r="R53"/>
  <c r="S53" s="1"/>
  <c r="Q53"/>
  <c r="R51"/>
  <c r="Q51"/>
  <c r="V50"/>
  <c r="R50"/>
  <c r="Q50"/>
  <c r="V47"/>
  <c r="R47"/>
  <c r="Q47"/>
  <c r="V48"/>
  <c r="R48"/>
  <c r="Q48"/>
  <c r="V46"/>
  <c r="R46"/>
  <c r="Q46"/>
  <c r="V44"/>
  <c r="R44"/>
  <c r="Q44"/>
  <c r="V45"/>
  <c r="R45"/>
  <c r="Q45"/>
  <c r="V43"/>
  <c r="R43"/>
  <c r="Q43"/>
  <c r="V36"/>
  <c r="R36"/>
  <c r="Q36"/>
  <c r="R34"/>
  <c r="Q34"/>
  <c r="V21"/>
  <c r="R21"/>
  <c r="Q21"/>
  <c r="V22"/>
  <c r="R22"/>
  <c r="Q22"/>
  <c r="V20"/>
  <c r="R20"/>
  <c r="Q20"/>
  <c r="V19"/>
  <c r="R19"/>
  <c r="Q19"/>
  <c r="V18"/>
  <c r="R18"/>
  <c r="Q18"/>
  <c r="R16"/>
  <c r="Q16"/>
  <c r="R15"/>
  <c r="Q15"/>
  <c r="R14"/>
  <c r="Q14"/>
  <c r="R13"/>
  <c r="Q13"/>
  <c r="R12"/>
  <c r="Q12"/>
  <c r="R11"/>
  <c r="Q11"/>
  <c r="R10"/>
  <c r="Q10"/>
  <c r="V9"/>
  <c r="R9"/>
  <c r="Q9"/>
  <c r="V8"/>
  <c r="R8"/>
  <c r="Q8"/>
  <c r="V6"/>
  <c r="R6"/>
  <c r="Q6"/>
  <c r="V7"/>
  <c r="R7"/>
  <c r="Q7"/>
  <c r="V5"/>
  <c r="R5"/>
  <c r="Q5"/>
  <c r="AQ65" i="12"/>
  <c r="AO65"/>
  <c r="AJ65"/>
  <c r="AH65"/>
  <c r="AG65"/>
  <c r="AF65"/>
  <c r="AQ64"/>
  <c r="AO64"/>
  <c r="AJ64"/>
  <c r="AH64"/>
  <c r="AG64"/>
  <c r="AF64"/>
  <c r="AQ55"/>
  <c r="AO55"/>
  <c r="AJ55"/>
  <c r="AH55"/>
  <c r="AG55"/>
  <c r="AF55"/>
  <c r="AQ54"/>
  <c r="AO54"/>
  <c r="AJ54"/>
  <c r="AH54"/>
  <c r="AG54"/>
  <c r="AF54"/>
  <c r="AQ51"/>
  <c r="AO51"/>
  <c r="AJ51"/>
  <c r="AH51"/>
  <c r="AG51"/>
  <c r="AF51"/>
  <c r="AQ50"/>
  <c r="AO50"/>
  <c r="AJ50"/>
  <c r="AH50"/>
  <c r="AG50"/>
  <c r="AF50"/>
  <c r="AQ49"/>
  <c r="AO49"/>
  <c r="AJ49"/>
  <c r="AH49"/>
  <c r="AH53" s="1"/>
  <c r="AG49"/>
  <c r="AG53" s="1"/>
  <c r="AF49"/>
  <c r="AF53" s="1"/>
  <c r="AQ48"/>
  <c r="AO48"/>
  <c r="AJ48"/>
  <c r="AH48"/>
  <c r="AH52" s="1"/>
  <c r="AG48"/>
  <c r="AG52" s="1"/>
  <c r="AF48"/>
  <c r="AF52" s="1"/>
  <c r="AQ47"/>
  <c r="AO47"/>
  <c r="AJ47"/>
  <c r="AH47"/>
  <c r="AG47"/>
  <c r="AF47"/>
  <c r="AQ46"/>
  <c r="AO46"/>
  <c r="AJ46"/>
  <c r="AH46"/>
  <c r="AG46"/>
  <c r="AF46"/>
  <c r="AQ43"/>
  <c r="AO43"/>
  <c r="AJ43"/>
  <c r="AH43"/>
  <c r="AG43"/>
  <c r="AF43"/>
  <c r="AQ42"/>
  <c r="AO42"/>
  <c r="AJ42"/>
  <c r="AH42"/>
  <c r="AG42"/>
  <c r="AF42"/>
  <c r="AQ41"/>
  <c r="AO41"/>
  <c r="AJ41"/>
  <c r="AH41"/>
  <c r="AH45" s="1"/>
  <c r="AG41"/>
  <c r="AF41"/>
  <c r="AF45" s="1"/>
  <c r="AQ40"/>
  <c r="AO40"/>
  <c r="AJ40"/>
  <c r="AH40"/>
  <c r="AH44" s="1"/>
  <c r="AG40"/>
  <c r="AG44" s="1"/>
  <c r="AF40"/>
  <c r="AF44" s="1"/>
  <c r="AQ39"/>
  <c r="AO39"/>
  <c r="AJ39"/>
  <c r="AH39"/>
  <c r="AG39"/>
  <c r="AF39"/>
  <c r="AQ38"/>
  <c r="AO38"/>
  <c r="AJ38"/>
  <c r="AH38"/>
  <c r="AG38"/>
  <c r="AF38"/>
  <c r="AQ35"/>
  <c r="AO35"/>
  <c r="AJ35"/>
  <c r="AH35"/>
  <c r="AG35"/>
  <c r="AF35"/>
  <c r="AQ34"/>
  <c r="AO34"/>
  <c r="AJ34"/>
  <c r="AH34"/>
  <c r="AG34"/>
  <c r="AF34"/>
  <c r="AQ33"/>
  <c r="AO33"/>
  <c r="AJ33"/>
  <c r="AH33"/>
  <c r="AH37" s="1"/>
  <c r="AG33"/>
  <c r="AF33"/>
  <c r="AF37" s="1"/>
  <c r="AQ32"/>
  <c r="AO32"/>
  <c r="AJ32"/>
  <c r="AH32"/>
  <c r="AH36" s="1"/>
  <c r="AG32"/>
  <c r="AG36" s="1"/>
  <c r="AF32"/>
  <c r="AF36" s="1"/>
  <c r="AQ31"/>
  <c r="AO31"/>
  <c r="AJ31"/>
  <c r="AH31"/>
  <c r="AG31"/>
  <c r="AF31"/>
  <c r="AQ30"/>
  <c r="AO30"/>
  <c r="AJ30"/>
  <c r="AH30"/>
  <c r="AG30"/>
  <c r="AF30"/>
  <c r="AQ27"/>
  <c r="AO27"/>
  <c r="AJ27"/>
  <c r="AH27"/>
  <c r="AG27"/>
  <c r="AF27"/>
  <c r="AQ26"/>
  <c r="AO26"/>
  <c r="AJ26"/>
  <c r="AH26"/>
  <c r="AG26"/>
  <c r="AF26"/>
  <c r="AQ25"/>
  <c r="AO25"/>
  <c r="AJ25"/>
  <c r="AH25"/>
  <c r="AH29" s="1"/>
  <c r="AG25"/>
  <c r="AF25"/>
  <c r="AF29" s="1"/>
  <c r="AQ24"/>
  <c r="AO24"/>
  <c r="AJ24"/>
  <c r="AH24"/>
  <c r="AH28" s="1"/>
  <c r="AG24"/>
  <c r="AG28" s="1"/>
  <c r="AF24"/>
  <c r="AF28" s="1"/>
  <c r="AQ23"/>
  <c r="AO23"/>
  <c r="AJ23"/>
  <c r="AH23"/>
  <c r="AG23"/>
  <c r="AF23"/>
  <c r="AQ22"/>
  <c r="AO22"/>
  <c r="AJ22"/>
  <c r="AH22"/>
  <c r="AG22"/>
  <c r="AF22"/>
  <c r="AQ19"/>
  <c r="AO19"/>
  <c r="AJ19"/>
  <c r="AH19"/>
  <c r="AG19"/>
  <c r="AF19"/>
  <c r="AQ18"/>
  <c r="AO18"/>
  <c r="AJ18"/>
  <c r="AH18"/>
  <c r="AG18"/>
  <c r="AF18"/>
  <c r="AQ17"/>
  <c r="AO17"/>
  <c r="AJ17"/>
  <c r="AH17"/>
  <c r="AG17"/>
  <c r="AF17"/>
  <c r="AQ16"/>
  <c r="AO16"/>
  <c r="AJ16"/>
  <c r="AH16"/>
  <c r="AG16"/>
  <c r="AF16"/>
  <c r="AQ15"/>
  <c r="AO15"/>
  <c r="AJ15"/>
  <c r="AH15"/>
  <c r="AG15"/>
  <c r="AF15"/>
  <c r="AQ14"/>
  <c r="AO14"/>
  <c r="AJ14"/>
  <c r="AH14"/>
  <c r="AG14"/>
  <c r="AF14"/>
  <c r="AQ11"/>
  <c r="AO11"/>
  <c r="AJ11"/>
  <c r="AH11"/>
  <c r="AG11"/>
  <c r="AF11"/>
  <c r="AQ10"/>
  <c r="AO10"/>
  <c r="AJ10"/>
  <c r="AH10"/>
  <c r="AG10"/>
  <c r="AF10"/>
  <c r="AQ9"/>
  <c r="AO9"/>
  <c r="AJ9"/>
  <c r="AH9"/>
  <c r="AG9"/>
  <c r="AF9"/>
  <c r="AQ8"/>
  <c r="AO8"/>
  <c r="AJ8"/>
  <c r="AH8"/>
  <c r="AG8"/>
  <c r="AF8"/>
  <c r="V106" i="2"/>
  <c r="V105"/>
  <c r="X103"/>
  <c r="T103"/>
  <c r="S103"/>
  <c r="X102"/>
  <c r="T102"/>
  <c r="S102"/>
  <c r="X100"/>
  <c r="T100"/>
  <c r="S100"/>
  <c r="X99"/>
  <c r="T99"/>
  <c r="S99"/>
  <c r="X94"/>
  <c r="T94"/>
  <c r="S94"/>
  <c r="X93"/>
  <c r="T93"/>
  <c r="S93"/>
  <c r="X91"/>
  <c r="T91"/>
  <c r="S91"/>
  <c r="X90"/>
  <c r="T90"/>
  <c r="S90"/>
  <c r="X85"/>
  <c r="T85"/>
  <c r="S85"/>
  <c r="X84"/>
  <c r="T84"/>
  <c r="S84"/>
  <c r="X82"/>
  <c r="T82"/>
  <c r="S82"/>
  <c r="X81"/>
  <c r="T81"/>
  <c r="S81"/>
  <c r="X76"/>
  <c r="T76"/>
  <c r="S76"/>
  <c r="X75"/>
  <c r="T75"/>
  <c r="S75"/>
  <c r="X73"/>
  <c r="T73"/>
  <c r="S73"/>
  <c r="X72"/>
  <c r="T72"/>
  <c r="S72"/>
  <c r="X67"/>
  <c r="T67"/>
  <c r="S67"/>
  <c r="X66"/>
  <c r="T66"/>
  <c r="S66"/>
  <c r="X64"/>
  <c r="T64"/>
  <c r="S64"/>
  <c r="X63"/>
  <c r="T63"/>
  <c r="S63"/>
  <c r="X58"/>
  <c r="T58"/>
  <c r="S58"/>
  <c r="X57"/>
  <c r="T57"/>
  <c r="S57"/>
  <c r="X55"/>
  <c r="T55"/>
  <c r="S55"/>
  <c r="X54"/>
  <c r="T54"/>
  <c r="S54"/>
  <c r="X52"/>
  <c r="T52"/>
  <c r="S52"/>
  <c r="X51"/>
  <c r="T51"/>
  <c r="S51"/>
  <c r="X49"/>
  <c r="T49"/>
  <c r="S49"/>
  <c r="X48"/>
  <c r="T48"/>
  <c r="S48"/>
  <c r="X46"/>
  <c r="T46"/>
  <c r="S46"/>
  <c r="X45"/>
  <c r="T45"/>
  <c r="S45"/>
  <c r="X43"/>
  <c r="T43"/>
  <c r="S43"/>
  <c r="X42"/>
  <c r="T42"/>
  <c r="S42"/>
  <c r="X37"/>
  <c r="T37"/>
  <c r="S37"/>
  <c r="X36"/>
  <c r="T36"/>
  <c r="S36"/>
  <c r="X34"/>
  <c r="T34"/>
  <c r="T106" s="1"/>
  <c r="S34"/>
  <c r="X33"/>
  <c r="T33"/>
  <c r="S33"/>
  <c r="X28"/>
  <c r="T28"/>
  <c r="S28"/>
  <c r="X27"/>
  <c r="T27"/>
  <c r="S27"/>
  <c r="X25"/>
  <c r="T25"/>
  <c r="S25"/>
  <c r="X24"/>
  <c r="T24"/>
  <c r="S24"/>
  <c r="X22"/>
  <c r="T22"/>
  <c r="S22"/>
  <c r="X21"/>
  <c r="T21"/>
  <c r="S21"/>
  <c r="X19"/>
  <c r="T19"/>
  <c r="S19"/>
  <c r="X18"/>
  <c r="T18"/>
  <c r="S18"/>
  <c r="X16"/>
  <c r="T16"/>
  <c r="S16"/>
  <c r="X15"/>
  <c r="T15"/>
  <c r="S15"/>
  <c r="X13"/>
  <c r="T13"/>
  <c r="S13"/>
  <c r="X12"/>
  <c r="T12"/>
  <c r="S12"/>
  <c r="X7"/>
  <c r="T7"/>
  <c r="S7"/>
  <c r="X6"/>
  <c r="T6"/>
  <c r="S6"/>
  <c r="U55" i="13"/>
  <c r="T55"/>
  <c r="U54"/>
  <c r="T54"/>
  <c r="U52"/>
  <c r="T52"/>
  <c r="U51"/>
  <c r="T51"/>
  <c r="U49"/>
  <c r="T49"/>
  <c r="U48"/>
  <c r="T48"/>
  <c r="U46"/>
  <c r="T46"/>
  <c r="U45"/>
  <c r="T45"/>
  <c r="U43"/>
  <c r="T43"/>
  <c r="U42"/>
  <c r="T42"/>
  <c r="U40"/>
  <c r="T40"/>
  <c r="U39"/>
  <c r="T39"/>
  <c r="U37"/>
  <c r="T37"/>
  <c r="T58" s="1"/>
  <c r="U36"/>
  <c r="T36"/>
  <c r="U25"/>
  <c r="T25"/>
  <c r="U24"/>
  <c r="T24"/>
  <c r="U22"/>
  <c r="T22"/>
  <c r="U21"/>
  <c r="T21"/>
  <c r="U19"/>
  <c r="T19"/>
  <c r="U18"/>
  <c r="T18"/>
  <c r="U16"/>
  <c r="T16"/>
  <c r="U15"/>
  <c r="T15"/>
  <c r="U13"/>
  <c r="T13"/>
  <c r="U12"/>
  <c r="T12"/>
  <c r="U10"/>
  <c r="T10"/>
  <c r="U9"/>
  <c r="T9"/>
  <c r="U7"/>
  <c r="U28" s="1"/>
  <c r="T7"/>
  <c r="U6"/>
  <c r="T6"/>
  <c r="M27" i="14"/>
  <c r="M11"/>
  <c r="P139" i="11"/>
  <c r="P121"/>
  <c r="P122"/>
  <c r="P87"/>
  <c r="P40"/>
  <c r="P34"/>
  <c r="P39"/>
  <c r="Q17" i="8"/>
  <c r="P242" i="7"/>
  <c r="P169"/>
  <c r="P123"/>
  <c r="P101"/>
  <c r="P61"/>
  <c r="L59" i="10"/>
  <c r="P17" i="16"/>
  <c r="I30" i="14"/>
  <c r="I32"/>
  <c r="M8"/>
  <c r="I13"/>
  <c r="I16"/>
  <c r="L176" i="11"/>
  <c r="L179"/>
  <c r="L182"/>
  <c r="L187"/>
  <c r="L181"/>
  <c r="L185"/>
  <c r="L174"/>
  <c r="L170"/>
  <c r="L157"/>
  <c r="L162"/>
  <c r="P160"/>
  <c r="L171"/>
  <c r="L133"/>
  <c r="L134"/>
  <c r="P127"/>
  <c r="L100"/>
  <c r="P79"/>
  <c r="P75"/>
  <c r="P60"/>
  <c r="P61"/>
  <c r="L64"/>
  <c r="L69"/>
  <c r="L68"/>
  <c r="L57"/>
  <c r="L28"/>
  <c r="L17"/>
  <c r="L25"/>
  <c r="P14"/>
  <c r="L20"/>
  <c r="P21"/>
  <c r="Q131" i="10"/>
  <c r="Q15"/>
  <c r="P207" i="7"/>
  <c r="L210"/>
  <c r="P170"/>
  <c r="L130"/>
  <c r="Y78" i="24"/>
  <c r="AF69"/>
  <c r="D69" i="23" s="1"/>
  <c r="AF72" i="22"/>
  <c r="D72" i="20" s="1"/>
  <c r="AF74" i="22"/>
  <c r="D74" i="20" s="1"/>
  <c r="AF75" i="22"/>
  <c r="D75" i="20" s="1"/>
  <c r="AF56" i="22"/>
  <c r="D56" i="20" s="1"/>
  <c r="AF58" i="22"/>
  <c r="D58" i="20" s="1"/>
  <c r="AF60" i="22"/>
  <c r="D60" i="20" s="1"/>
  <c r="AF62" i="22"/>
  <c r="D62" i="20" s="1"/>
  <c r="AF68" i="22"/>
  <c r="D68" i="20" s="1"/>
  <c r="AF70" i="22"/>
  <c r="D70" i="20" s="1"/>
  <c r="AF75" i="24"/>
  <c r="D75" i="23" s="1"/>
  <c r="AF66" i="22"/>
  <c r="D66" i="20" s="1"/>
  <c r="L78" i="24"/>
  <c r="AF55" i="22"/>
  <c r="D55" i="20" s="1"/>
  <c r="AF71" i="22"/>
  <c r="D71" i="20" s="1"/>
  <c r="AF63" i="22"/>
  <c r="D63" i="20" s="1"/>
  <c r="AF67" i="22"/>
  <c r="D67" i="20" s="1"/>
  <c r="AF50" i="22"/>
  <c r="D50" i="20" s="1"/>
  <c r="AF59" i="22"/>
  <c r="D59" i="20" s="1"/>
  <c r="AF64" i="22"/>
  <c r="D64" i="20" s="1"/>
  <c r="D78" i="22"/>
  <c r="K11" i="16"/>
  <c r="K14"/>
  <c r="H26" i="14"/>
  <c r="M28"/>
  <c r="H33"/>
  <c r="H20"/>
  <c r="H16"/>
  <c r="H11"/>
  <c r="H13"/>
  <c r="H14"/>
  <c r="K181" i="11"/>
  <c r="K185"/>
  <c r="K174"/>
  <c r="K168"/>
  <c r="K170"/>
  <c r="P168"/>
  <c r="K150"/>
  <c r="K132"/>
  <c r="K135"/>
  <c r="K141"/>
  <c r="P82"/>
  <c r="K6"/>
  <c r="L327" i="10"/>
  <c r="K252" i="7"/>
  <c r="K218"/>
  <c r="K214"/>
  <c r="P213"/>
  <c r="K219"/>
  <c r="K142"/>
  <c r="K144"/>
  <c r="K145"/>
  <c r="K147"/>
  <c r="K149"/>
  <c r="K155"/>
  <c r="K156"/>
  <c r="P90"/>
  <c r="K74"/>
  <c r="K78"/>
  <c r="K80"/>
  <c r="K77"/>
  <c r="AA78" i="22"/>
  <c r="AE72"/>
  <c r="C72" i="20" s="1"/>
  <c r="AE76" i="22"/>
  <c r="C76" i="20" s="1"/>
  <c r="AE77" i="24"/>
  <c r="C77" i="23" s="1"/>
  <c r="S78" i="22"/>
  <c r="G78" i="24"/>
  <c r="G78" i="22"/>
  <c r="AD76" i="24"/>
  <c r="B76" i="23" s="1"/>
  <c r="AD52" i="22"/>
  <c r="B52" i="20" s="1"/>
  <c r="Z78" i="22"/>
  <c r="AD72"/>
  <c r="B72" i="20" s="1"/>
  <c r="AD76" i="22"/>
  <c r="B76" i="20" s="1"/>
  <c r="V78" i="22"/>
  <c r="AD55"/>
  <c r="B55" i="20" s="1"/>
  <c r="AD74" i="22"/>
  <c r="B74" i="20" s="1"/>
  <c r="AD53" i="22"/>
  <c r="B53" i="20" s="1"/>
  <c r="F78" i="24"/>
  <c r="B78" i="22"/>
  <c r="K25" i="16"/>
  <c r="K23"/>
  <c r="K22"/>
  <c r="K21"/>
  <c r="K19"/>
  <c r="M19" s="1"/>
  <c r="K18"/>
  <c r="K17"/>
  <c r="K16"/>
  <c r="K10"/>
  <c r="K13"/>
  <c r="K12"/>
  <c r="K9"/>
  <c r="M9" s="1"/>
  <c r="K7"/>
  <c r="K8"/>
  <c r="K5"/>
  <c r="M5" s="1"/>
  <c r="K6"/>
  <c r="M6" s="1"/>
  <c r="P25"/>
  <c r="P16"/>
  <c r="P5"/>
  <c r="I19" i="14"/>
  <c r="H19"/>
  <c r="I17"/>
  <c r="H17"/>
  <c r="I15"/>
  <c r="H15"/>
  <c r="I14"/>
  <c r="I7"/>
  <c r="H7"/>
  <c r="I6"/>
  <c r="H6"/>
  <c r="I11"/>
  <c r="I10"/>
  <c r="H10"/>
  <c r="I9"/>
  <c r="J9" s="1"/>
  <c r="H9"/>
  <c r="I5"/>
  <c r="H5"/>
  <c r="I36"/>
  <c r="H36"/>
  <c r="I34"/>
  <c r="H34"/>
  <c r="I33"/>
  <c r="H32"/>
  <c r="I29"/>
  <c r="H29"/>
  <c r="H30"/>
  <c r="I28"/>
  <c r="I27"/>
  <c r="H27"/>
  <c r="I31"/>
  <c r="H31"/>
  <c r="I25"/>
  <c r="H25"/>
  <c r="I26"/>
  <c r="I24"/>
  <c r="H24"/>
  <c r="I21"/>
  <c r="H21"/>
  <c r="I22"/>
  <c r="H22"/>
  <c r="I23"/>
  <c r="H23"/>
  <c r="M36"/>
  <c r="M25"/>
  <c r="M26"/>
  <c r="M24"/>
  <c r="M21"/>
  <c r="M22"/>
  <c r="M23"/>
  <c r="M19"/>
  <c r="M10"/>
  <c r="M9"/>
  <c r="L189" i="11"/>
  <c r="K189"/>
  <c r="L186"/>
  <c r="K186"/>
  <c r="L184"/>
  <c r="K184"/>
  <c r="K187"/>
  <c r="L180"/>
  <c r="M180" s="1"/>
  <c r="K180"/>
  <c r="K182"/>
  <c r="L178"/>
  <c r="K178"/>
  <c r="K179"/>
  <c r="L177"/>
  <c r="K177"/>
  <c r="K176"/>
  <c r="L175"/>
  <c r="M175" s="1"/>
  <c r="K175"/>
  <c r="L173"/>
  <c r="K173"/>
  <c r="K171"/>
  <c r="L168"/>
  <c r="M168" s="1"/>
  <c r="L169"/>
  <c r="K169"/>
  <c r="K160"/>
  <c r="L161"/>
  <c r="K161"/>
  <c r="K162"/>
  <c r="L158"/>
  <c r="K158"/>
  <c r="K157"/>
  <c r="L159"/>
  <c r="K159"/>
  <c r="L155"/>
  <c r="K155"/>
  <c r="L156"/>
  <c r="K156"/>
  <c r="L153"/>
  <c r="K153"/>
  <c r="L154"/>
  <c r="K154"/>
  <c r="L151"/>
  <c r="K151"/>
  <c r="L152"/>
  <c r="K152"/>
  <c r="L150"/>
  <c r="L143"/>
  <c r="K143"/>
  <c r="L140"/>
  <c r="K140"/>
  <c r="L141"/>
  <c r="L138"/>
  <c r="K138"/>
  <c r="L139"/>
  <c r="K139"/>
  <c r="L137"/>
  <c r="K137"/>
  <c r="L135"/>
  <c r="K134"/>
  <c r="L129"/>
  <c r="K129"/>
  <c r="K133"/>
  <c r="L132"/>
  <c r="L130"/>
  <c r="K130"/>
  <c r="L128"/>
  <c r="K128"/>
  <c r="L127"/>
  <c r="L126"/>
  <c r="K126"/>
  <c r="L124"/>
  <c r="K124"/>
  <c r="L115"/>
  <c r="M115" s="1"/>
  <c r="K115"/>
  <c r="L123"/>
  <c r="K123"/>
  <c r="L118"/>
  <c r="M118" s="1"/>
  <c r="K118"/>
  <c r="L119"/>
  <c r="K119"/>
  <c r="L121"/>
  <c r="K121"/>
  <c r="L122"/>
  <c r="K122"/>
  <c r="L109"/>
  <c r="K109"/>
  <c r="L111"/>
  <c r="K111"/>
  <c r="L120"/>
  <c r="M120" s="1"/>
  <c r="K120"/>
  <c r="L116"/>
  <c r="K116"/>
  <c r="L110"/>
  <c r="K110"/>
  <c r="L107"/>
  <c r="K107"/>
  <c r="L112"/>
  <c r="K112"/>
  <c r="L106"/>
  <c r="K106"/>
  <c r="L114"/>
  <c r="K114"/>
  <c r="L108"/>
  <c r="K108"/>
  <c r="L103"/>
  <c r="K103"/>
  <c r="L104"/>
  <c r="K104"/>
  <c r="L101"/>
  <c r="K101"/>
  <c r="L113"/>
  <c r="K113"/>
  <c r="L102"/>
  <c r="K102"/>
  <c r="K100"/>
  <c r="L93"/>
  <c r="K93"/>
  <c r="L91"/>
  <c r="K91"/>
  <c r="L87"/>
  <c r="K87"/>
  <c r="L89"/>
  <c r="K89"/>
  <c r="L84"/>
  <c r="K84"/>
  <c r="L83"/>
  <c r="K83"/>
  <c r="L86"/>
  <c r="K86"/>
  <c r="L85"/>
  <c r="K85"/>
  <c r="L81"/>
  <c r="K81"/>
  <c r="L82"/>
  <c r="K82"/>
  <c r="L90"/>
  <c r="K90"/>
  <c r="L79"/>
  <c r="M79" s="1"/>
  <c r="K79"/>
  <c r="L74"/>
  <c r="M74" s="1"/>
  <c r="K74"/>
  <c r="L80"/>
  <c r="K80"/>
  <c r="L77"/>
  <c r="K77"/>
  <c r="L78"/>
  <c r="M78" s="1"/>
  <c r="K78"/>
  <c r="L76"/>
  <c r="K76"/>
  <c r="L73"/>
  <c r="K73"/>
  <c r="L71"/>
  <c r="K71"/>
  <c r="K57"/>
  <c r="L70"/>
  <c r="K70"/>
  <c r="K69"/>
  <c r="L67"/>
  <c r="K67"/>
  <c r="K64"/>
  <c r="L62"/>
  <c r="K62"/>
  <c r="K61"/>
  <c r="L63"/>
  <c r="M63" s="1"/>
  <c r="K63"/>
  <c r="K68"/>
  <c r="L58"/>
  <c r="K58"/>
  <c r="K60"/>
  <c r="L56"/>
  <c r="M56" s="1"/>
  <c r="K56"/>
  <c r="K54"/>
  <c r="L55"/>
  <c r="K55"/>
  <c r="L59"/>
  <c r="K59"/>
  <c r="L47"/>
  <c r="K47"/>
  <c r="L45"/>
  <c r="K45"/>
  <c r="L44"/>
  <c r="K44"/>
  <c r="L43"/>
  <c r="K43"/>
  <c r="L40"/>
  <c r="K40"/>
  <c r="L37"/>
  <c r="K37"/>
  <c r="L42"/>
  <c r="K42"/>
  <c r="L39"/>
  <c r="K39"/>
  <c r="L41"/>
  <c r="M41" s="1"/>
  <c r="K41"/>
  <c r="L34"/>
  <c r="K34"/>
  <c r="L32"/>
  <c r="K32"/>
  <c r="L35"/>
  <c r="K35"/>
  <c r="L33"/>
  <c r="K33"/>
  <c r="L31"/>
  <c r="K31"/>
  <c r="L30"/>
  <c r="K30"/>
  <c r="L29"/>
  <c r="K29"/>
  <c r="L27"/>
  <c r="K27"/>
  <c r="L24"/>
  <c r="K24"/>
  <c r="L21"/>
  <c r="M21" s="1"/>
  <c r="K21"/>
  <c r="L18"/>
  <c r="K18"/>
  <c r="K20"/>
  <c r="L19"/>
  <c r="M19" s="1"/>
  <c r="K19"/>
  <c r="K14"/>
  <c r="L15"/>
  <c r="K15"/>
  <c r="K25"/>
  <c r="L22"/>
  <c r="K22"/>
  <c r="K17"/>
  <c r="L13"/>
  <c r="K13"/>
  <c r="L16"/>
  <c r="K16"/>
  <c r="L8"/>
  <c r="K8"/>
  <c r="L10"/>
  <c r="K10"/>
  <c r="L12"/>
  <c r="K12"/>
  <c r="L11"/>
  <c r="K11"/>
  <c r="L7"/>
  <c r="K7"/>
  <c r="L9"/>
  <c r="K9"/>
  <c r="L5"/>
  <c r="K5"/>
  <c r="L6"/>
  <c r="P189"/>
  <c r="P184"/>
  <c r="P180"/>
  <c r="P178"/>
  <c r="P177"/>
  <c r="P175"/>
  <c r="P174"/>
  <c r="P173"/>
  <c r="P167"/>
  <c r="P161"/>
  <c r="P158"/>
  <c r="P165"/>
  <c r="P166"/>
  <c r="P157"/>
  <c r="P159"/>
  <c r="P155"/>
  <c r="P156"/>
  <c r="P153"/>
  <c r="P154"/>
  <c r="P151"/>
  <c r="P152"/>
  <c r="P150"/>
  <c r="P143"/>
  <c r="P140"/>
  <c r="P138"/>
  <c r="P129"/>
  <c r="P130"/>
  <c r="P128"/>
  <c r="P126"/>
  <c r="P115"/>
  <c r="P118"/>
  <c r="P119"/>
  <c r="P109"/>
  <c r="P111"/>
  <c r="P110"/>
  <c r="P107"/>
  <c r="P112"/>
  <c r="P106"/>
  <c r="P114"/>
  <c r="P108"/>
  <c r="P103"/>
  <c r="P104"/>
  <c r="P101"/>
  <c r="P113"/>
  <c r="P102"/>
  <c r="P100"/>
  <c r="P93"/>
  <c r="P83"/>
  <c r="P86"/>
  <c r="P81"/>
  <c r="P80"/>
  <c r="P77"/>
  <c r="P78"/>
  <c r="P76"/>
  <c r="P73"/>
  <c r="P67"/>
  <c r="P62"/>
  <c r="P63"/>
  <c r="P58"/>
  <c r="P56"/>
  <c r="P55"/>
  <c r="P47"/>
  <c r="P42"/>
  <c r="P41"/>
  <c r="P32"/>
  <c r="P33"/>
  <c r="P31"/>
  <c r="P30"/>
  <c r="P29"/>
  <c r="P27"/>
  <c r="P24"/>
  <c r="P18"/>
  <c r="P15"/>
  <c r="P22"/>
  <c r="P17"/>
  <c r="P13"/>
  <c r="P16"/>
  <c r="P8"/>
  <c r="P10"/>
  <c r="P12"/>
  <c r="P11"/>
  <c r="P7"/>
  <c r="P9"/>
  <c r="P5"/>
  <c r="M189"/>
  <c r="L344" i="10"/>
  <c r="L341"/>
  <c r="L342"/>
  <c r="L335"/>
  <c r="N335" s="1"/>
  <c r="L331"/>
  <c r="N331" s="1"/>
  <c r="L334"/>
  <c r="L336"/>
  <c r="N336" s="1"/>
  <c r="L338"/>
  <c r="L333"/>
  <c r="N333" s="1"/>
  <c r="L337"/>
  <c r="N337" s="1"/>
  <c r="L329"/>
  <c r="L332"/>
  <c r="N332" s="1"/>
  <c r="L330"/>
  <c r="N330" s="1"/>
  <c r="L328"/>
  <c r="L326"/>
  <c r="L345" s="1"/>
  <c r="L324"/>
  <c r="L323"/>
  <c r="L321"/>
  <c r="L322"/>
  <c r="L313"/>
  <c r="N313" s="1"/>
  <c r="L314"/>
  <c r="N314" s="1"/>
  <c r="L312"/>
  <c r="L311"/>
  <c r="L310"/>
  <c r="L309"/>
  <c r="L302"/>
  <c r="L300"/>
  <c r="L299"/>
  <c r="N299" s="1"/>
  <c r="L298"/>
  <c r="L292"/>
  <c r="N292" s="1"/>
  <c r="L295"/>
  <c r="N295" s="1"/>
  <c r="L297"/>
  <c r="N297" s="1"/>
  <c r="L294"/>
  <c r="N294" s="1"/>
  <c r="L291"/>
  <c r="L290"/>
  <c r="L288"/>
  <c r="L287"/>
  <c r="L289"/>
  <c r="L286"/>
  <c r="L285"/>
  <c r="L284"/>
  <c r="L283"/>
  <c r="L282"/>
  <c r="L264"/>
  <c r="L262"/>
  <c r="L265"/>
  <c r="L266"/>
  <c r="L263"/>
  <c r="L261"/>
  <c r="L260"/>
  <c r="L259"/>
  <c r="L250"/>
  <c r="L248"/>
  <c r="L238"/>
  <c r="L239"/>
  <c r="L233"/>
  <c r="L237"/>
  <c r="L236"/>
  <c r="L234"/>
  <c r="L235"/>
  <c r="L232"/>
  <c r="L229"/>
  <c r="L231"/>
  <c r="L230"/>
  <c r="L228"/>
  <c r="L227"/>
  <c r="L225"/>
  <c r="L214"/>
  <c r="L213"/>
  <c r="L212"/>
  <c r="L205"/>
  <c r="L202"/>
  <c r="L203"/>
  <c r="L197"/>
  <c r="L198"/>
  <c r="L199"/>
  <c r="L196"/>
  <c r="L194"/>
  <c r="L192"/>
  <c r="L193"/>
  <c r="L190"/>
  <c r="L195"/>
  <c r="L185"/>
  <c r="L189"/>
  <c r="L188"/>
  <c r="L186"/>
  <c r="L191"/>
  <c r="L184"/>
  <c r="L183"/>
  <c r="L187"/>
  <c r="L182"/>
  <c r="L181"/>
  <c r="L180"/>
  <c r="L178"/>
  <c r="L165"/>
  <c r="L164"/>
  <c r="L163"/>
  <c r="L162"/>
  <c r="L153"/>
  <c r="L151"/>
  <c r="L140"/>
  <c r="N140" s="1"/>
  <c r="L142"/>
  <c r="N142" s="1"/>
  <c r="L141"/>
  <c r="N141" s="1"/>
  <c r="L136"/>
  <c r="N136" s="1"/>
  <c r="L138"/>
  <c r="N138" s="1"/>
  <c r="L139"/>
  <c r="N139" s="1"/>
  <c r="L133"/>
  <c r="L132"/>
  <c r="L135"/>
  <c r="L134"/>
  <c r="N134" s="1"/>
  <c r="L130"/>
  <c r="L122"/>
  <c r="L121"/>
  <c r="L118"/>
  <c r="N118" s="1"/>
  <c r="L119"/>
  <c r="L117"/>
  <c r="N117" s="1"/>
  <c r="L120"/>
  <c r="L115"/>
  <c r="L128"/>
  <c r="L116"/>
  <c r="L113"/>
  <c r="L112"/>
  <c r="L114"/>
  <c r="L111"/>
  <c r="L105"/>
  <c r="L103"/>
  <c r="L102"/>
  <c r="L92"/>
  <c r="L101"/>
  <c r="L99"/>
  <c r="L96"/>
  <c r="L97"/>
  <c r="L98"/>
  <c r="L93"/>
  <c r="L94"/>
  <c r="L95"/>
  <c r="L91"/>
  <c r="L90"/>
  <c r="L81"/>
  <c r="L88"/>
  <c r="L87"/>
  <c r="L86"/>
  <c r="L83"/>
  <c r="L82"/>
  <c r="L78"/>
  <c r="N78" s="1"/>
  <c r="L77"/>
  <c r="L85"/>
  <c r="L80"/>
  <c r="N80" s="1"/>
  <c r="L76"/>
  <c r="L74"/>
  <c r="L75"/>
  <c r="L84"/>
  <c r="L73"/>
  <c r="N73" s="1"/>
  <c r="L72"/>
  <c r="N72" s="1"/>
  <c r="L69"/>
  <c r="L71"/>
  <c r="L70"/>
  <c r="L68"/>
  <c r="L67"/>
  <c r="L66"/>
  <c r="L53"/>
  <c r="L54"/>
  <c r="N54" s="1"/>
  <c r="L51"/>
  <c r="L50"/>
  <c r="L52"/>
  <c r="N52" s="1"/>
  <c r="L49"/>
  <c r="L48"/>
  <c r="L47"/>
  <c r="L44"/>
  <c r="L36"/>
  <c r="N36" s="1"/>
  <c r="L43"/>
  <c r="L38"/>
  <c r="N38" s="1"/>
  <c r="L45"/>
  <c r="L37"/>
  <c r="N37" s="1"/>
  <c r="L41"/>
  <c r="L39"/>
  <c r="N39" s="1"/>
  <c r="L40"/>
  <c r="N40" s="1"/>
  <c r="L35"/>
  <c r="L34"/>
  <c r="L33"/>
  <c r="L31"/>
  <c r="L32"/>
  <c r="L29"/>
  <c r="L30"/>
  <c r="L28"/>
  <c r="L16"/>
  <c r="L17"/>
  <c r="L14"/>
  <c r="L13"/>
  <c r="L12"/>
  <c r="L9"/>
  <c r="L7"/>
  <c r="L10"/>
  <c r="L8"/>
  <c r="L5"/>
  <c r="L6"/>
  <c r="Q344"/>
  <c r="Q329"/>
  <c r="Q330"/>
  <c r="Q328"/>
  <c r="Q327"/>
  <c r="Q326"/>
  <c r="Q318"/>
  <c r="Q313"/>
  <c r="Q314"/>
  <c r="Q312"/>
  <c r="Q311"/>
  <c r="Q310"/>
  <c r="Q309"/>
  <c r="Q302"/>
  <c r="Q290"/>
  <c r="Q288"/>
  <c r="Q287"/>
  <c r="Q289"/>
  <c r="Q286"/>
  <c r="Q285"/>
  <c r="Q284"/>
  <c r="Q282"/>
  <c r="Q264"/>
  <c r="Q262"/>
  <c r="Q265"/>
  <c r="Q263"/>
  <c r="Q261"/>
  <c r="Q260"/>
  <c r="Q259"/>
  <c r="Q250"/>
  <c r="Q245"/>
  <c r="Q242"/>
  <c r="Q240"/>
  <c r="Q238"/>
  <c r="Q243"/>
  <c r="Q239"/>
  <c r="Q233"/>
  <c r="Q237"/>
  <c r="Q236"/>
  <c r="Q234"/>
  <c r="Q235"/>
  <c r="Q232"/>
  <c r="Q229"/>
  <c r="Q231"/>
  <c r="Q230"/>
  <c r="Q228"/>
  <c r="Q227"/>
  <c r="Q214"/>
  <c r="Q213"/>
  <c r="Q212"/>
  <c r="Q205"/>
  <c r="Q200"/>
  <c r="Q202"/>
  <c r="Q203"/>
  <c r="Q198"/>
  <c r="Q199"/>
  <c r="Q196"/>
  <c r="Q194"/>
  <c r="Q192"/>
  <c r="Q193"/>
  <c r="Q190"/>
  <c r="Q195"/>
  <c r="Q185"/>
  <c r="Q189"/>
  <c r="Q188"/>
  <c r="Q186"/>
  <c r="Q191"/>
  <c r="Q184"/>
  <c r="Q183"/>
  <c r="Q187"/>
  <c r="Q182"/>
  <c r="Q181"/>
  <c r="Q180"/>
  <c r="Q177"/>
  <c r="Q165"/>
  <c r="Q164"/>
  <c r="Q163"/>
  <c r="Q162"/>
  <c r="Q153"/>
  <c r="Q132"/>
  <c r="Q130"/>
  <c r="Q117"/>
  <c r="Q115"/>
  <c r="Q128"/>
  <c r="Q116"/>
  <c r="Q113"/>
  <c r="Q112"/>
  <c r="Q114"/>
  <c r="Q111"/>
  <c r="Q105"/>
  <c r="Q92"/>
  <c r="Q96"/>
  <c r="Q97"/>
  <c r="Q98"/>
  <c r="Q94"/>
  <c r="Q95"/>
  <c r="Q91"/>
  <c r="Q90"/>
  <c r="Q72"/>
  <c r="Q69"/>
  <c r="Q71"/>
  <c r="Q70"/>
  <c r="Q68"/>
  <c r="Q67"/>
  <c r="Q66"/>
  <c r="Q59"/>
  <c r="Q49"/>
  <c r="Q48"/>
  <c r="Q47"/>
  <c r="Q34"/>
  <c r="Q33"/>
  <c r="Q31"/>
  <c r="Q32"/>
  <c r="Q29"/>
  <c r="Q30"/>
  <c r="Q28"/>
  <c r="Q19"/>
  <c r="Q16"/>
  <c r="Q17"/>
  <c r="Q14"/>
  <c r="Q13"/>
  <c r="Q12"/>
  <c r="Q6"/>
  <c r="L49" i="9"/>
  <c r="K49"/>
  <c r="L47"/>
  <c r="K47"/>
  <c r="L46"/>
  <c r="K46"/>
  <c r="L45"/>
  <c r="K45"/>
  <c r="L44"/>
  <c r="K44"/>
  <c r="L33"/>
  <c r="K33"/>
  <c r="L32"/>
  <c r="K32"/>
  <c r="L30"/>
  <c r="K30"/>
  <c r="L7"/>
  <c r="K7"/>
  <c r="L6"/>
  <c r="K6"/>
  <c r="L5"/>
  <c r="K5"/>
  <c r="P49"/>
  <c r="P33"/>
  <c r="P32"/>
  <c r="P30"/>
  <c r="P7"/>
  <c r="P6"/>
  <c r="P5"/>
  <c r="L48"/>
  <c r="M95" i="8"/>
  <c r="L95"/>
  <c r="M91"/>
  <c r="L91"/>
  <c r="M93"/>
  <c r="L93"/>
  <c r="M72"/>
  <c r="N72" s="1"/>
  <c r="L72"/>
  <c r="M71"/>
  <c r="N71" s="1"/>
  <c r="L71"/>
  <c r="M69"/>
  <c r="L69"/>
  <c r="M70"/>
  <c r="L70"/>
  <c r="M68"/>
  <c r="L68"/>
  <c r="M67"/>
  <c r="L67"/>
  <c r="M65"/>
  <c r="L65"/>
  <c r="M48"/>
  <c r="L48"/>
  <c r="M47"/>
  <c r="L47"/>
  <c r="M45"/>
  <c r="L45"/>
  <c r="M43"/>
  <c r="L43"/>
  <c r="M42"/>
  <c r="L42"/>
  <c r="M40"/>
  <c r="L40"/>
  <c r="M41"/>
  <c r="L41"/>
  <c r="M39"/>
  <c r="L39"/>
  <c r="M36"/>
  <c r="N36" s="1"/>
  <c r="L36"/>
  <c r="M38"/>
  <c r="N38" s="1"/>
  <c r="L38"/>
  <c r="M35"/>
  <c r="L35"/>
  <c r="M33"/>
  <c r="L33"/>
  <c r="M37"/>
  <c r="N37" s="1"/>
  <c r="L37"/>
  <c r="M34"/>
  <c r="L34"/>
  <c r="M32"/>
  <c r="L32"/>
  <c r="M31"/>
  <c r="L31"/>
  <c r="M30"/>
  <c r="L30"/>
  <c r="M28"/>
  <c r="L28"/>
  <c r="M27"/>
  <c r="L27"/>
  <c r="M26"/>
  <c r="L26"/>
  <c r="M25"/>
  <c r="L25"/>
  <c r="M24"/>
  <c r="L24"/>
  <c r="M8"/>
  <c r="L8"/>
  <c r="M7"/>
  <c r="L7"/>
  <c r="M6"/>
  <c r="L6"/>
  <c r="Q69"/>
  <c r="Q70"/>
  <c r="Q68"/>
  <c r="Q48"/>
  <c r="Q47"/>
  <c r="Q36"/>
  <c r="Q38"/>
  <c r="Q35"/>
  <c r="Q33"/>
  <c r="Q37"/>
  <c r="Q34"/>
  <c r="Q32"/>
  <c r="Q31"/>
  <c r="Q30"/>
  <c r="Q15"/>
  <c r="Q16"/>
  <c r="Q14"/>
  <c r="Q12"/>
  <c r="Q11"/>
  <c r="Q9"/>
  <c r="Q10"/>
  <c r="Q8"/>
  <c r="Q7"/>
  <c r="Q6"/>
  <c r="L270" i="7"/>
  <c r="K270"/>
  <c r="L265"/>
  <c r="K265"/>
  <c r="L268"/>
  <c r="K268"/>
  <c r="L266"/>
  <c r="K266"/>
  <c r="L267"/>
  <c r="K267"/>
  <c r="L258"/>
  <c r="K258"/>
  <c r="L260"/>
  <c r="K260"/>
  <c r="L259"/>
  <c r="K259"/>
  <c r="L257"/>
  <c r="K257"/>
  <c r="L255"/>
  <c r="K255"/>
  <c r="L256"/>
  <c r="K256"/>
  <c r="L254"/>
  <c r="K254"/>
  <c r="L252"/>
  <c r="L235"/>
  <c r="K235"/>
  <c r="L234"/>
  <c r="K234"/>
  <c r="L231"/>
  <c r="K231"/>
  <c r="L232"/>
  <c r="K232"/>
  <c r="L230"/>
  <c r="K230"/>
  <c r="L233"/>
  <c r="K233"/>
  <c r="L229"/>
  <c r="K229"/>
  <c r="L228"/>
  <c r="K228"/>
  <c r="L221"/>
  <c r="K221"/>
  <c r="L219"/>
  <c r="L216"/>
  <c r="K216"/>
  <c r="L213"/>
  <c r="L215"/>
  <c r="K215"/>
  <c r="L214"/>
  <c r="L212"/>
  <c r="K212"/>
  <c r="L218"/>
  <c r="K210"/>
  <c r="L211"/>
  <c r="L209"/>
  <c r="K209"/>
  <c r="L208"/>
  <c r="K208"/>
  <c r="K207"/>
  <c r="L206"/>
  <c r="K206"/>
  <c r="L205"/>
  <c r="K205"/>
  <c r="L203"/>
  <c r="K203"/>
  <c r="L202"/>
  <c r="K202"/>
  <c r="L193"/>
  <c r="K193"/>
  <c r="L192"/>
  <c r="K192"/>
  <c r="L191"/>
  <c r="K191"/>
  <c r="L190"/>
  <c r="K190"/>
  <c r="L189"/>
  <c r="K189"/>
  <c r="L185"/>
  <c r="K185"/>
  <c r="L186"/>
  <c r="K186"/>
  <c r="L188"/>
  <c r="K188"/>
  <c r="L187"/>
  <c r="K187"/>
  <c r="L184"/>
  <c r="K184"/>
  <c r="L177"/>
  <c r="K177"/>
  <c r="L175"/>
  <c r="K175"/>
  <c r="L174"/>
  <c r="K174"/>
  <c r="L173"/>
  <c r="K173"/>
  <c r="L172"/>
  <c r="K172"/>
  <c r="L171"/>
  <c r="K171"/>
  <c r="L170"/>
  <c r="M170" s="1"/>
  <c r="K170"/>
  <c r="L169"/>
  <c r="K169"/>
  <c r="L166"/>
  <c r="K166"/>
  <c r="L165"/>
  <c r="K165"/>
  <c r="L168"/>
  <c r="K168"/>
  <c r="L167"/>
  <c r="K167"/>
  <c r="L163"/>
  <c r="K163"/>
  <c r="L162"/>
  <c r="K162"/>
  <c r="L164"/>
  <c r="K164"/>
  <c r="L161"/>
  <c r="K161"/>
  <c r="L160"/>
  <c r="K160"/>
  <c r="L159"/>
  <c r="K159"/>
  <c r="L156"/>
  <c r="L157"/>
  <c r="K157"/>
  <c r="L155"/>
  <c r="L149"/>
  <c r="L148"/>
  <c r="K148"/>
  <c r="L147"/>
  <c r="L146"/>
  <c r="K146"/>
  <c r="L145"/>
  <c r="L143"/>
  <c r="K143"/>
  <c r="L144"/>
  <c r="L141"/>
  <c r="K141"/>
  <c r="L142"/>
  <c r="L140"/>
  <c r="K140"/>
  <c r="L139"/>
  <c r="K139"/>
  <c r="L132"/>
  <c r="K132"/>
  <c r="L124"/>
  <c r="K124"/>
  <c r="K130"/>
  <c r="L128"/>
  <c r="K128"/>
  <c r="L126"/>
  <c r="K126"/>
  <c r="L127"/>
  <c r="K127"/>
  <c r="L129"/>
  <c r="K129"/>
  <c r="L125"/>
  <c r="K125"/>
  <c r="L123"/>
  <c r="M123" s="1"/>
  <c r="K123"/>
  <c r="L122"/>
  <c r="K122"/>
  <c r="L119"/>
  <c r="M119" s="1"/>
  <c r="K119"/>
  <c r="L121"/>
  <c r="K121"/>
  <c r="L120"/>
  <c r="M120" s="1"/>
  <c r="K120"/>
  <c r="L118"/>
  <c r="K118"/>
  <c r="L117"/>
  <c r="K117"/>
  <c r="L116"/>
  <c r="K116"/>
  <c r="L114"/>
  <c r="K114"/>
  <c r="L112"/>
  <c r="K112"/>
  <c r="L98"/>
  <c r="K98"/>
  <c r="L113"/>
  <c r="K113"/>
  <c r="L99"/>
  <c r="K99"/>
  <c r="L100"/>
  <c r="K100"/>
  <c r="L101"/>
  <c r="K101"/>
  <c r="L102"/>
  <c r="K102"/>
  <c r="L97"/>
  <c r="K97"/>
  <c r="L95"/>
  <c r="K95"/>
  <c r="L96"/>
  <c r="K96"/>
  <c r="L92"/>
  <c r="K92"/>
  <c r="L93"/>
  <c r="K93"/>
  <c r="L94"/>
  <c r="K94"/>
  <c r="L91"/>
  <c r="K91"/>
  <c r="L90"/>
  <c r="L83"/>
  <c r="K83"/>
  <c r="L77"/>
  <c r="L81"/>
  <c r="K81"/>
  <c r="L80"/>
  <c r="L76"/>
  <c r="K76"/>
  <c r="L78"/>
  <c r="L79"/>
  <c r="K79"/>
  <c r="L74"/>
  <c r="M74" s="1"/>
  <c r="L73"/>
  <c r="K73"/>
  <c r="L72"/>
  <c r="K72"/>
  <c r="L70"/>
  <c r="K70"/>
  <c r="L75"/>
  <c r="K75"/>
  <c r="L68"/>
  <c r="K68"/>
  <c r="L65"/>
  <c r="K65"/>
  <c r="L69"/>
  <c r="K69"/>
  <c r="L71"/>
  <c r="K71"/>
  <c r="L67"/>
  <c r="K67"/>
  <c r="L66"/>
  <c r="K66"/>
  <c r="L64"/>
  <c r="K64"/>
  <c r="L62"/>
  <c r="K62"/>
  <c r="L61"/>
  <c r="M61" s="1"/>
  <c r="K61"/>
  <c r="L60"/>
  <c r="K60"/>
  <c r="L57"/>
  <c r="K57"/>
  <c r="L59"/>
  <c r="K59"/>
  <c r="L58"/>
  <c r="K58"/>
  <c r="L55"/>
  <c r="K55"/>
  <c r="L52"/>
  <c r="K52"/>
  <c r="L54"/>
  <c r="K54"/>
  <c r="L49"/>
  <c r="K49"/>
  <c r="L53"/>
  <c r="K53"/>
  <c r="L51"/>
  <c r="K51"/>
  <c r="L50"/>
  <c r="K50"/>
  <c r="L47"/>
  <c r="K47"/>
  <c r="L48"/>
  <c r="K48"/>
  <c r="L46"/>
  <c r="K46"/>
  <c r="L44"/>
  <c r="K44"/>
  <c r="L45"/>
  <c r="K45"/>
  <c r="L43"/>
  <c r="K43"/>
  <c r="L36"/>
  <c r="K36"/>
  <c r="L34"/>
  <c r="K34"/>
  <c r="L29"/>
  <c r="K29"/>
  <c r="L33"/>
  <c r="K33"/>
  <c r="L32"/>
  <c r="K32"/>
  <c r="L24"/>
  <c r="M24" s="1"/>
  <c r="K24"/>
  <c r="L26"/>
  <c r="M26" s="1"/>
  <c r="K26"/>
  <c r="L28"/>
  <c r="K28"/>
  <c r="L31"/>
  <c r="K31"/>
  <c r="L27"/>
  <c r="M27" s="1"/>
  <c r="K27"/>
  <c r="L25"/>
  <c r="K25"/>
  <c r="L23"/>
  <c r="M23" s="1"/>
  <c r="K23"/>
  <c r="L21"/>
  <c r="K21"/>
  <c r="L22"/>
  <c r="K22"/>
  <c r="L20"/>
  <c r="K20"/>
  <c r="L19"/>
  <c r="K19"/>
  <c r="L18"/>
  <c r="K18"/>
  <c r="L16"/>
  <c r="K16"/>
  <c r="L15"/>
  <c r="K15"/>
  <c r="L14"/>
  <c r="K14"/>
  <c r="L13"/>
  <c r="K13"/>
  <c r="L12"/>
  <c r="K12"/>
  <c r="L11"/>
  <c r="K11"/>
  <c r="L10"/>
  <c r="K10"/>
  <c r="L9"/>
  <c r="K9"/>
  <c r="L8"/>
  <c r="K8"/>
  <c r="L6"/>
  <c r="K6"/>
  <c r="L7"/>
  <c r="K7"/>
  <c r="L5"/>
  <c r="K5"/>
  <c r="P270"/>
  <c r="P263"/>
  <c r="P258"/>
  <c r="P264"/>
  <c r="P260"/>
  <c r="P259"/>
  <c r="P257"/>
  <c r="P255"/>
  <c r="P256"/>
  <c r="P254"/>
  <c r="P252"/>
  <c r="P251"/>
  <c r="P250"/>
  <c r="P248"/>
  <c r="P246"/>
  <c r="P245"/>
  <c r="P247"/>
  <c r="P243"/>
  <c r="P244"/>
  <c r="P249"/>
  <c r="P240"/>
  <c r="P241"/>
  <c r="P237"/>
  <c r="P238"/>
  <c r="P239"/>
  <c r="P235"/>
  <c r="P234"/>
  <c r="P231"/>
  <c r="P232"/>
  <c r="P230"/>
  <c r="P233"/>
  <c r="P229"/>
  <c r="P228"/>
  <c r="P221"/>
  <c r="P216"/>
  <c r="P214"/>
  <c r="P212"/>
  <c r="P211"/>
  <c r="P209"/>
  <c r="P208"/>
  <c r="P206"/>
  <c r="P205"/>
  <c r="P201"/>
  <c r="P198"/>
  <c r="P196"/>
  <c r="P199"/>
  <c r="P197"/>
  <c r="P195"/>
  <c r="P193"/>
  <c r="P192"/>
  <c r="P191"/>
  <c r="P190"/>
  <c r="P189"/>
  <c r="P185"/>
  <c r="P186"/>
  <c r="P188"/>
  <c r="P187"/>
  <c r="P184"/>
  <c r="P177"/>
  <c r="P165"/>
  <c r="P168"/>
  <c r="P167"/>
  <c r="P163"/>
  <c r="P162"/>
  <c r="P164"/>
  <c r="P161"/>
  <c r="P160"/>
  <c r="P159"/>
  <c r="P156"/>
  <c r="P157"/>
  <c r="P149"/>
  <c r="P148"/>
  <c r="P147"/>
  <c r="P146"/>
  <c r="P145"/>
  <c r="P143"/>
  <c r="P144"/>
  <c r="P141"/>
  <c r="P142"/>
  <c r="P140"/>
  <c r="P139"/>
  <c r="P132"/>
  <c r="P126"/>
  <c r="P122"/>
  <c r="P119"/>
  <c r="P121"/>
  <c r="P120"/>
  <c r="P118"/>
  <c r="P117"/>
  <c r="P116"/>
  <c r="P98"/>
  <c r="P99"/>
  <c r="P100"/>
  <c r="P102"/>
  <c r="P97"/>
  <c r="P95"/>
  <c r="P96"/>
  <c r="P92"/>
  <c r="P93"/>
  <c r="P94"/>
  <c r="P91"/>
  <c r="P83"/>
  <c r="P74"/>
  <c r="P73"/>
  <c r="P72"/>
  <c r="P70"/>
  <c r="P68"/>
  <c r="P65"/>
  <c r="P69"/>
  <c r="P71"/>
  <c r="P66"/>
  <c r="P64"/>
  <c r="P57"/>
  <c r="P59"/>
  <c r="P58"/>
  <c r="P55"/>
  <c r="P52"/>
  <c r="P54"/>
  <c r="P49"/>
  <c r="P53"/>
  <c r="P51"/>
  <c r="P50"/>
  <c r="P47"/>
  <c r="P48"/>
  <c r="P46"/>
  <c r="P44"/>
  <c r="P45"/>
  <c r="P43"/>
  <c r="P36"/>
  <c r="P21"/>
  <c r="P22"/>
  <c r="P20"/>
  <c r="P19"/>
  <c r="P18"/>
  <c r="P9"/>
  <c r="P8"/>
  <c r="P6"/>
  <c r="P7"/>
  <c r="P5"/>
  <c r="M254"/>
  <c r="M230"/>
  <c r="M159"/>
  <c r="M141"/>
  <c r="M58"/>
  <c r="AH79" i="24"/>
  <c r="F79" i="23" s="1"/>
  <c r="AF79" i="24"/>
  <c r="D79" i="23" s="1"/>
  <c r="AE79" i="24"/>
  <c r="C79" i="23" s="1"/>
  <c r="AD79" i="24"/>
  <c r="B79" i="23" s="1"/>
  <c r="AC78" i="24"/>
  <c r="AB78"/>
  <c r="AA78"/>
  <c r="Z78"/>
  <c r="X78"/>
  <c r="W78"/>
  <c r="V78"/>
  <c r="U78"/>
  <c r="T78"/>
  <c r="S78"/>
  <c r="R78"/>
  <c r="Q78"/>
  <c r="P78"/>
  <c r="O78"/>
  <c r="N78"/>
  <c r="M78"/>
  <c r="K78"/>
  <c r="J78"/>
  <c r="I78"/>
  <c r="H78"/>
  <c r="E78"/>
  <c r="D78"/>
  <c r="C78"/>
  <c r="B78"/>
  <c r="AH77"/>
  <c r="F77" i="23" s="1"/>
  <c r="AF77" i="24"/>
  <c r="D77" i="23" s="1"/>
  <c r="AD77" i="24"/>
  <c r="B77" i="23" s="1"/>
  <c r="AH76" i="24"/>
  <c r="F76" i="23" s="1"/>
  <c r="AF76" i="24"/>
  <c r="D76" i="23" s="1"/>
  <c r="AE76" i="24"/>
  <c r="C76" i="23" s="1"/>
  <c r="AH75" i="24"/>
  <c r="F75" i="23" s="1"/>
  <c r="AE75" i="24"/>
  <c r="C75" i="23" s="1"/>
  <c r="AD75" i="24"/>
  <c r="B75" i="23" s="1"/>
  <c r="AH74" i="24"/>
  <c r="F74" i="23" s="1"/>
  <c r="AF74" i="24"/>
  <c r="D74" i="23" s="1"/>
  <c r="AE74" i="24"/>
  <c r="C74" i="23" s="1"/>
  <c r="AD74" i="24"/>
  <c r="B74" i="23" s="1"/>
  <c r="AH73" i="24"/>
  <c r="F73" i="23" s="1"/>
  <c r="AF73" i="24"/>
  <c r="D73" i="23" s="1"/>
  <c r="AE73" i="24"/>
  <c r="C73" i="23" s="1"/>
  <c r="AD73" i="24"/>
  <c r="B73" i="23" s="1"/>
  <c r="AH72" i="24"/>
  <c r="F72" i="23" s="1"/>
  <c r="AF72" i="24"/>
  <c r="D72" i="23" s="1"/>
  <c r="AE72" i="24"/>
  <c r="C72" i="23" s="1"/>
  <c r="AD72" i="24"/>
  <c r="B72" i="23" s="1"/>
  <c r="AH71" i="24"/>
  <c r="F71" i="23" s="1"/>
  <c r="AF71" i="24"/>
  <c r="D71" i="23" s="1"/>
  <c r="AE71" i="24"/>
  <c r="C71" i="23" s="1"/>
  <c r="AD71" i="24"/>
  <c r="B71" i="23" s="1"/>
  <c r="AH70" i="24"/>
  <c r="F70" i="23" s="1"/>
  <c r="AF70" i="24"/>
  <c r="D70" i="23" s="1"/>
  <c r="AE70" i="24"/>
  <c r="C70" i="23" s="1"/>
  <c r="AD70" i="24"/>
  <c r="B70" i="23" s="1"/>
  <c r="AH69" i="24"/>
  <c r="F69" i="23" s="1"/>
  <c r="G69" s="1"/>
  <c r="AE69" i="24"/>
  <c r="C69" i="23" s="1"/>
  <c r="AD69" i="24"/>
  <c r="B69" i="23" s="1"/>
  <c r="AH68" i="24"/>
  <c r="F68" i="23" s="1"/>
  <c r="AF68" i="24"/>
  <c r="D68" i="23" s="1"/>
  <c r="AE68" i="24"/>
  <c r="C68" i="23" s="1"/>
  <c r="AD68" i="24"/>
  <c r="B68" i="23" s="1"/>
  <c r="AH67" i="24"/>
  <c r="F67" i="23" s="1"/>
  <c r="AF67" i="24"/>
  <c r="D67" i="23" s="1"/>
  <c r="AE67" i="24"/>
  <c r="C67" i="23" s="1"/>
  <c r="AD67" i="24"/>
  <c r="B67" i="23" s="1"/>
  <c r="AH66" i="24"/>
  <c r="F66" i="23" s="1"/>
  <c r="AF66" i="24"/>
  <c r="D66" i="23" s="1"/>
  <c r="AE66" i="24"/>
  <c r="C66" i="23" s="1"/>
  <c r="AD66" i="24"/>
  <c r="B66" i="23" s="1"/>
  <c r="AH65" i="24"/>
  <c r="F65" i="23" s="1"/>
  <c r="AF65" i="24"/>
  <c r="D65" i="23" s="1"/>
  <c r="AE65" i="24"/>
  <c r="C65" i="23" s="1"/>
  <c r="AD65" i="24"/>
  <c r="B65" i="23" s="1"/>
  <c r="AH64" i="24"/>
  <c r="F64" i="23" s="1"/>
  <c r="AF64" i="24"/>
  <c r="D64" i="23" s="1"/>
  <c r="AE64" i="24"/>
  <c r="C64" i="23" s="1"/>
  <c r="AD64" i="24"/>
  <c r="B64" i="23" s="1"/>
  <c r="AH63" i="24"/>
  <c r="F63" i="23" s="1"/>
  <c r="AF63" i="24"/>
  <c r="D63" i="23" s="1"/>
  <c r="AE63" i="24"/>
  <c r="C63" i="23" s="1"/>
  <c r="AD63" i="24"/>
  <c r="B63" i="23" s="1"/>
  <c r="AH62" i="24"/>
  <c r="F62" i="23" s="1"/>
  <c r="AF62" i="24"/>
  <c r="D62" i="23" s="1"/>
  <c r="AE62" i="24"/>
  <c r="C62" i="23" s="1"/>
  <c r="AD62" i="24"/>
  <c r="B62" i="23" s="1"/>
  <c r="AH61" i="24"/>
  <c r="F61" i="23" s="1"/>
  <c r="AF61" i="24"/>
  <c r="D61" i="23" s="1"/>
  <c r="AE61" i="24"/>
  <c r="C61" i="23" s="1"/>
  <c r="AD61" i="24"/>
  <c r="B61" i="23" s="1"/>
  <c r="AH60" i="24"/>
  <c r="F60" i="23" s="1"/>
  <c r="AF60" i="24"/>
  <c r="D60" i="23" s="1"/>
  <c r="AE60" i="24"/>
  <c r="C60" i="23" s="1"/>
  <c r="AD60" i="24"/>
  <c r="B60" i="23" s="1"/>
  <c r="AH59" i="24"/>
  <c r="F59" i="23" s="1"/>
  <c r="AF59" i="24"/>
  <c r="D59" i="23" s="1"/>
  <c r="AE59" i="24"/>
  <c r="C59" i="23" s="1"/>
  <c r="AD59" i="24"/>
  <c r="B59" i="23" s="1"/>
  <c r="AH58" i="24"/>
  <c r="F58" i="23" s="1"/>
  <c r="AF58" i="24"/>
  <c r="D58" i="23" s="1"/>
  <c r="AE58" i="24"/>
  <c r="C58" i="23" s="1"/>
  <c r="AD58" i="24"/>
  <c r="B58" i="23" s="1"/>
  <c r="AH57" i="24"/>
  <c r="F57" i="23" s="1"/>
  <c r="AF57" i="24"/>
  <c r="D57" i="23" s="1"/>
  <c r="AE57" i="24"/>
  <c r="C57" i="23" s="1"/>
  <c r="AD57" i="24"/>
  <c r="B57" i="23" s="1"/>
  <c r="AH56" i="24"/>
  <c r="F56" i="23" s="1"/>
  <c r="AF56" i="24"/>
  <c r="D56" i="23" s="1"/>
  <c r="AE56" i="24"/>
  <c r="C56" i="23" s="1"/>
  <c r="AD56" i="24"/>
  <c r="B56" i="23" s="1"/>
  <c r="AH55" i="24"/>
  <c r="F55" i="23" s="1"/>
  <c r="AE55" i="24"/>
  <c r="C55" i="23" s="1"/>
  <c r="AD55" i="24"/>
  <c r="B55" i="23" s="1"/>
  <c r="AH54" i="24"/>
  <c r="F54" i="23" s="1"/>
  <c r="AF54" i="24"/>
  <c r="D54" i="23" s="1"/>
  <c r="AE54" i="24"/>
  <c r="C54" i="23" s="1"/>
  <c r="AD54" i="24"/>
  <c r="B54" i="23" s="1"/>
  <c r="AH53" i="24"/>
  <c r="F53" i="23" s="1"/>
  <c r="AF53" i="24"/>
  <c r="D53" i="23" s="1"/>
  <c r="AE53" i="24"/>
  <c r="C53" i="23" s="1"/>
  <c r="AD53" i="24"/>
  <c r="B53" i="23" s="1"/>
  <c r="AH52" i="24"/>
  <c r="F52" i="23" s="1"/>
  <c r="AF52" i="24"/>
  <c r="D52" i="23" s="1"/>
  <c r="AE52" i="24"/>
  <c r="C52" i="23" s="1"/>
  <c r="AD52" i="24"/>
  <c r="B52" i="23" s="1"/>
  <c r="AH51" i="24"/>
  <c r="F51" i="23" s="1"/>
  <c r="AF51" i="24"/>
  <c r="D51" i="23" s="1"/>
  <c r="AE51" i="24"/>
  <c r="C51" i="23" s="1"/>
  <c r="AD51" i="24"/>
  <c r="B51" i="23" s="1"/>
  <c r="AH50" i="24"/>
  <c r="F50" i="23" s="1"/>
  <c r="AF50" i="24"/>
  <c r="D50" i="23" s="1"/>
  <c r="AE50" i="24"/>
  <c r="C50" i="23" s="1"/>
  <c r="AD50" i="24"/>
  <c r="B50" i="23" s="1"/>
  <c r="AH49" i="24"/>
  <c r="F49" i="23" s="1"/>
  <c r="AF49" i="24"/>
  <c r="D49" i="23" s="1"/>
  <c r="AE49" i="24"/>
  <c r="C49" i="23" s="1"/>
  <c r="AD49" i="24"/>
  <c r="B49" i="23" s="1"/>
  <c r="AH48" i="24"/>
  <c r="F48" i="23" s="1"/>
  <c r="AF48" i="24"/>
  <c r="D48" i="23" s="1"/>
  <c r="AH79" i="22"/>
  <c r="F79" i="20" s="1"/>
  <c r="AF79" i="22"/>
  <c r="D79" i="20" s="1"/>
  <c r="AE79" i="22"/>
  <c r="C79" i="20" s="1"/>
  <c r="AD79" i="22"/>
  <c r="B79" i="20" s="1"/>
  <c r="AC78" i="22"/>
  <c r="AB78"/>
  <c r="Y78"/>
  <c r="X78"/>
  <c r="W78"/>
  <c r="U78"/>
  <c r="T78"/>
  <c r="R78"/>
  <c r="Q78"/>
  <c r="P78"/>
  <c r="O78"/>
  <c r="M78"/>
  <c r="K78"/>
  <c r="I78"/>
  <c r="E78"/>
  <c r="C78"/>
  <c r="AH77"/>
  <c r="F77" i="20" s="1"/>
  <c r="AF77" i="22"/>
  <c r="D77" i="20" s="1"/>
  <c r="AE77" i="22"/>
  <c r="C77" i="20" s="1"/>
  <c r="AD77" i="22"/>
  <c r="B77" i="20" s="1"/>
  <c r="AH76" i="22"/>
  <c r="F76" i="20" s="1"/>
  <c r="G76" s="1"/>
  <c r="AF76" i="22"/>
  <c r="D76" i="20" s="1"/>
  <c r="E76" s="1"/>
  <c r="AH75" i="22"/>
  <c r="F75" i="20" s="1"/>
  <c r="AE75" i="22"/>
  <c r="C75" i="20" s="1"/>
  <c r="AD75" i="22"/>
  <c r="B75" i="20" s="1"/>
  <c r="AH74" i="22"/>
  <c r="F74" i="20" s="1"/>
  <c r="AE74" i="22"/>
  <c r="C74" i="20" s="1"/>
  <c r="AH73" i="22"/>
  <c r="F73" i="20" s="1"/>
  <c r="AF73" i="22"/>
  <c r="D73" i="20" s="1"/>
  <c r="AE73" i="22"/>
  <c r="C73" i="20" s="1"/>
  <c r="AD73" i="22"/>
  <c r="B73" i="20" s="1"/>
  <c r="AH72" i="22"/>
  <c r="F72" i="20" s="1"/>
  <c r="AH71" i="22"/>
  <c r="F71" i="20" s="1"/>
  <c r="AE71" i="22"/>
  <c r="C71" i="20" s="1"/>
  <c r="AD71" i="22"/>
  <c r="B71" i="20" s="1"/>
  <c r="AH70" i="22"/>
  <c r="F70" i="20" s="1"/>
  <c r="AE70" i="22"/>
  <c r="C70" i="20" s="1"/>
  <c r="AD70" i="22"/>
  <c r="B70" i="20" s="1"/>
  <c r="AH69" i="22"/>
  <c r="F69" i="20" s="1"/>
  <c r="AF69" i="22"/>
  <c r="D69" i="20" s="1"/>
  <c r="AE69" i="22"/>
  <c r="C69" i="20" s="1"/>
  <c r="AD69" i="22"/>
  <c r="B69" i="20" s="1"/>
  <c r="AH68" i="22"/>
  <c r="F68" i="20" s="1"/>
  <c r="AE68" i="22"/>
  <c r="C68" i="20" s="1"/>
  <c r="AD68" i="22"/>
  <c r="B68" i="20" s="1"/>
  <c r="AH67" i="22"/>
  <c r="F67" i="20" s="1"/>
  <c r="AE67" i="22"/>
  <c r="C67" i="20" s="1"/>
  <c r="AD67" i="22"/>
  <c r="B67" i="20" s="1"/>
  <c r="AH66" i="22"/>
  <c r="F66" i="20" s="1"/>
  <c r="AE66" i="22"/>
  <c r="C66" i="20" s="1"/>
  <c r="AD66" i="22"/>
  <c r="B66" i="20" s="1"/>
  <c r="AH65" i="22"/>
  <c r="F65" i="20" s="1"/>
  <c r="AF65" i="22"/>
  <c r="D65" i="20" s="1"/>
  <c r="AE65" i="22"/>
  <c r="C65" i="20" s="1"/>
  <c r="AD65" i="22"/>
  <c r="B65" i="20" s="1"/>
  <c r="AH64" i="22"/>
  <c r="F64" i="20" s="1"/>
  <c r="AE64" i="22"/>
  <c r="C64" i="20" s="1"/>
  <c r="AD64" i="22"/>
  <c r="B64" i="20" s="1"/>
  <c r="AH63" i="22"/>
  <c r="F63" i="20" s="1"/>
  <c r="AE63" i="22"/>
  <c r="C63" i="20" s="1"/>
  <c r="AD63" i="22"/>
  <c r="B63" i="20" s="1"/>
  <c r="AH62" i="22"/>
  <c r="F62" i="20" s="1"/>
  <c r="AE62" i="22"/>
  <c r="C62" i="20" s="1"/>
  <c r="AD62" i="22"/>
  <c r="B62" i="20" s="1"/>
  <c r="AH61" i="22"/>
  <c r="F61" i="20" s="1"/>
  <c r="AF61" i="22"/>
  <c r="D61" i="20" s="1"/>
  <c r="AE61" i="22"/>
  <c r="C61" i="20" s="1"/>
  <c r="AD61" i="22"/>
  <c r="B61" i="20" s="1"/>
  <c r="AH60" i="22"/>
  <c r="F60" i="20" s="1"/>
  <c r="AE60" i="22"/>
  <c r="C60" i="20" s="1"/>
  <c r="AD60" i="22"/>
  <c r="B60" i="20" s="1"/>
  <c r="AH59" i="22"/>
  <c r="F59" i="20" s="1"/>
  <c r="AE59" i="22"/>
  <c r="C59" i="20" s="1"/>
  <c r="AD59" i="22"/>
  <c r="B59" i="20" s="1"/>
  <c r="AH58" i="22"/>
  <c r="F58" i="20" s="1"/>
  <c r="AE58" i="22"/>
  <c r="C58" i="20" s="1"/>
  <c r="AD58" i="22"/>
  <c r="B58" i="20" s="1"/>
  <c r="AH57" i="22"/>
  <c r="F57" i="20" s="1"/>
  <c r="AF57" i="22"/>
  <c r="D57" i="20" s="1"/>
  <c r="AE57" i="22"/>
  <c r="C57" i="20" s="1"/>
  <c r="AD57" i="22"/>
  <c r="B57" i="20" s="1"/>
  <c r="AH56" i="22"/>
  <c r="F56" i="20" s="1"/>
  <c r="AE56" i="22"/>
  <c r="C56" i="20" s="1"/>
  <c r="AD56" i="22"/>
  <c r="B56" i="20" s="1"/>
  <c r="AH55" i="22"/>
  <c r="F55" i="20" s="1"/>
  <c r="AE55" i="22"/>
  <c r="C55" i="20" s="1"/>
  <c r="AH54" i="22"/>
  <c r="F54" i="20" s="1"/>
  <c r="AF54" i="22"/>
  <c r="D54" i="20" s="1"/>
  <c r="AE54" i="22"/>
  <c r="C54" i="20" s="1"/>
  <c r="AD54" i="22"/>
  <c r="B54" i="20" s="1"/>
  <c r="AH53" i="22"/>
  <c r="F53" i="20" s="1"/>
  <c r="AF53" i="22"/>
  <c r="D53" i="20" s="1"/>
  <c r="E53" s="1"/>
  <c r="AE53" i="22"/>
  <c r="C53" i="20" s="1"/>
  <c r="AH52" i="22"/>
  <c r="F52" i="20" s="1"/>
  <c r="AF52" i="22"/>
  <c r="D52" i="20" s="1"/>
  <c r="AE52" i="22"/>
  <c r="C52" i="20" s="1"/>
  <c r="AH51" i="22"/>
  <c r="F51" i="20" s="1"/>
  <c r="AF51" i="22"/>
  <c r="D51" i="20" s="1"/>
  <c r="AE51" i="22"/>
  <c r="C51" i="20" s="1"/>
  <c r="AH50" i="22"/>
  <c r="F50" i="20" s="1"/>
  <c r="AE50" i="22"/>
  <c r="C50" i="20" s="1"/>
  <c r="AD50" i="22"/>
  <c r="B50" i="20" s="1"/>
  <c r="AH49" i="22"/>
  <c r="F49" i="20" s="1"/>
  <c r="AF49" i="22"/>
  <c r="D49" i="20" s="1"/>
  <c r="AE49" i="22"/>
  <c r="C49" i="20" s="1"/>
  <c r="AD49" i="22"/>
  <c r="B49" i="20" s="1"/>
  <c r="AH48" i="22"/>
  <c r="F48" i="20" s="1"/>
  <c r="AE48" i="22"/>
  <c r="C48" i="20" s="1"/>
  <c r="X65" i="12"/>
  <c r="V65"/>
  <c r="U65"/>
  <c r="T65"/>
  <c r="X64"/>
  <c r="V64"/>
  <c r="U64"/>
  <c r="T64"/>
  <c r="X55"/>
  <c r="V55"/>
  <c r="U55"/>
  <c r="T55"/>
  <c r="X54"/>
  <c r="V54"/>
  <c r="U54"/>
  <c r="T54"/>
  <c r="X51"/>
  <c r="V51"/>
  <c r="U51"/>
  <c r="T51"/>
  <c r="X50"/>
  <c r="V50"/>
  <c r="U50"/>
  <c r="T50"/>
  <c r="X49"/>
  <c r="V49"/>
  <c r="U49"/>
  <c r="T49"/>
  <c r="X48"/>
  <c r="V48"/>
  <c r="V52" s="1"/>
  <c r="U48"/>
  <c r="T48"/>
  <c r="X47"/>
  <c r="V47"/>
  <c r="U47"/>
  <c r="T47"/>
  <c r="X46"/>
  <c r="V46"/>
  <c r="U46"/>
  <c r="T46"/>
  <c r="X43"/>
  <c r="V43"/>
  <c r="U43"/>
  <c r="T43"/>
  <c r="X42"/>
  <c r="V42"/>
  <c r="U42"/>
  <c r="T42"/>
  <c r="X41"/>
  <c r="V41"/>
  <c r="U41"/>
  <c r="T41"/>
  <c r="X40"/>
  <c r="V40"/>
  <c r="U40"/>
  <c r="T40"/>
  <c r="T44" s="1"/>
  <c r="X39"/>
  <c r="V39"/>
  <c r="U39"/>
  <c r="T39"/>
  <c r="X38"/>
  <c r="V38"/>
  <c r="U38"/>
  <c r="T38"/>
  <c r="X35"/>
  <c r="V35"/>
  <c r="U35"/>
  <c r="T35"/>
  <c r="X34"/>
  <c r="V34"/>
  <c r="U34"/>
  <c r="T34"/>
  <c r="X33"/>
  <c r="V33"/>
  <c r="U33"/>
  <c r="T33"/>
  <c r="X32"/>
  <c r="X36" s="1"/>
  <c r="V32"/>
  <c r="U32"/>
  <c r="T32"/>
  <c r="X31"/>
  <c r="V31"/>
  <c r="U31"/>
  <c r="T31"/>
  <c r="X30"/>
  <c r="V30"/>
  <c r="U30"/>
  <c r="T30"/>
  <c r="X27"/>
  <c r="V27"/>
  <c r="U27"/>
  <c r="T27"/>
  <c r="X26"/>
  <c r="V26"/>
  <c r="U26"/>
  <c r="T26"/>
  <c r="X25"/>
  <c r="V25"/>
  <c r="U25"/>
  <c r="T25"/>
  <c r="X24"/>
  <c r="V24"/>
  <c r="U24"/>
  <c r="T24"/>
  <c r="X23"/>
  <c r="V23"/>
  <c r="U23"/>
  <c r="T23"/>
  <c r="X22"/>
  <c r="V22"/>
  <c r="U22"/>
  <c r="T22"/>
  <c r="X19"/>
  <c r="V19"/>
  <c r="U19"/>
  <c r="T19"/>
  <c r="X18"/>
  <c r="V18"/>
  <c r="U18"/>
  <c r="T18"/>
  <c r="X17"/>
  <c r="V17"/>
  <c r="U17"/>
  <c r="T17"/>
  <c r="X16"/>
  <c r="V16"/>
  <c r="U16"/>
  <c r="T16"/>
  <c r="X15"/>
  <c r="V15"/>
  <c r="U15"/>
  <c r="T15"/>
  <c r="X14"/>
  <c r="V14"/>
  <c r="U14"/>
  <c r="T14"/>
  <c r="X11"/>
  <c r="V11"/>
  <c r="V59" s="1"/>
  <c r="U11"/>
  <c r="T11"/>
  <c r="X10"/>
  <c r="V10"/>
  <c r="U10"/>
  <c r="T10"/>
  <c r="X9"/>
  <c r="V9"/>
  <c r="V57" s="1"/>
  <c r="U9"/>
  <c r="T9"/>
  <c r="T57" s="1"/>
  <c r="X8"/>
  <c r="U8"/>
  <c r="V8"/>
  <c r="T8"/>
  <c r="T12" s="1"/>
  <c r="AE65"/>
  <c r="AC65"/>
  <c r="AE64"/>
  <c r="AC64"/>
  <c r="AA59"/>
  <c r="AA58"/>
  <c r="AA57"/>
  <c r="AA56"/>
  <c r="AE55"/>
  <c r="AC55"/>
  <c r="AE54"/>
  <c r="AC54"/>
  <c r="AA53"/>
  <c r="AA52"/>
  <c r="AE51"/>
  <c r="AC51"/>
  <c r="AE50"/>
  <c r="AC50"/>
  <c r="AE49"/>
  <c r="AC49"/>
  <c r="AE48"/>
  <c r="AC48"/>
  <c r="AE47"/>
  <c r="AC47"/>
  <c r="AE46"/>
  <c r="AC46"/>
  <c r="AA45"/>
  <c r="AA44"/>
  <c r="AE43"/>
  <c r="AC43"/>
  <c r="AE42"/>
  <c r="AC42"/>
  <c r="AE41"/>
  <c r="AC41"/>
  <c r="AE40"/>
  <c r="AC40"/>
  <c r="AE39"/>
  <c r="AC39"/>
  <c r="AE38"/>
  <c r="AC38"/>
  <c r="AA37"/>
  <c r="AA36"/>
  <c r="AE35"/>
  <c r="AC35"/>
  <c r="AE34"/>
  <c r="AC34"/>
  <c r="AE33"/>
  <c r="AC33"/>
  <c r="AE32"/>
  <c r="AC32"/>
  <c r="AE31"/>
  <c r="AC31"/>
  <c r="AE30"/>
  <c r="AC30"/>
  <c r="AA29"/>
  <c r="AA28"/>
  <c r="AE27"/>
  <c r="AC27"/>
  <c r="AE26"/>
  <c r="AC26"/>
  <c r="AE25"/>
  <c r="AC25"/>
  <c r="AE24"/>
  <c r="AC24"/>
  <c r="AE23"/>
  <c r="AC23"/>
  <c r="AE22"/>
  <c r="AC22"/>
  <c r="AA21"/>
  <c r="AA20"/>
  <c r="AE19"/>
  <c r="AC19"/>
  <c r="AE18"/>
  <c r="AC18"/>
  <c r="AE17"/>
  <c r="AC17"/>
  <c r="AE16"/>
  <c r="AC16"/>
  <c r="AE15"/>
  <c r="AC15"/>
  <c r="AE14"/>
  <c r="AC14"/>
  <c r="AA13"/>
  <c r="AA12"/>
  <c r="AE11"/>
  <c r="AC11"/>
  <c r="AE10"/>
  <c r="AC10"/>
  <c r="AE9"/>
  <c r="AC9"/>
  <c r="AE8"/>
  <c r="AC8"/>
  <c r="R92" i="2"/>
  <c r="P106"/>
  <c r="P105"/>
  <c r="R103"/>
  <c r="N103"/>
  <c r="M103"/>
  <c r="R102"/>
  <c r="N102"/>
  <c r="M102"/>
  <c r="R100"/>
  <c r="N100"/>
  <c r="M100"/>
  <c r="R99"/>
  <c r="N99"/>
  <c r="M99"/>
  <c r="R94"/>
  <c r="N94"/>
  <c r="M94"/>
  <c r="R93"/>
  <c r="N93"/>
  <c r="M93"/>
  <c r="R91"/>
  <c r="N91"/>
  <c r="M91"/>
  <c r="R90"/>
  <c r="N90"/>
  <c r="M90"/>
  <c r="R85"/>
  <c r="N85"/>
  <c r="M85"/>
  <c r="R84"/>
  <c r="N84"/>
  <c r="M84"/>
  <c r="R82"/>
  <c r="N82"/>
  <c r="M82"/>
  <c r="R81"/>
  <c r="N81"/>
  <c r="M81"/>
  <c r="R76"/>
  <c r="N76"/>
  <c r="M76"/>
  <c r="R75"/>
  <c r="N75"/>
  <c r="M75"/>
  <c r="R73"/>
  <c r="N73"/>
  <c r="M73"/>
  <c r="R72"/>
  <c r="N72"/>
  <c r="M72"/>
  <c r="R67"/>
  <c r="N67"/>
  <c r="M67"/>
  <c r="R66"/>
  <c r="N66"/>
  <c r="M66"/>
  <c r="R64"/>
  <c r="N64"/>
  <c r="M64"/>
  <c r="R63"/>
  <c r="N63"/>
  <c r="M63"/>
  <c r="R58"/>
  <c r="N58"/>
  <c r="M58"/>
  <c r="R57"/>
  <c r="N57"/>
  <c r="M57"/>
  <c r="R55"/>
  <c r="N55"/>
  <c r="M55"/>
  <c r="R54"/>
  <c r="N54"/>
  <c r="M54"/>
  <c r="R52"/>
  <c r="N52"/>
  <c r="M52"/>
  <c r="R51"/>
  <c r="N51"/>
  <c r="M51"/>
  <c r="R49"/>
  <c r="N49"/>
  <c r="M49"/>
  <c r="R48"/>
  <c r="N48"/>
  <c r="M48"/>
  <c r="R46"/>
  <c r="N46"/>
  <c r="M46"/>
  <c r="R45"/>
  <c r="N45"/>
  <c r="M45"/>
  <c r="R43"/>
  <c r="N43"/>
  <c r="M43"/>
  <c r="R42"/>
  <c r="N42"/>
  <c r="M42"/>
  <c r="R37"/>
  <c r="N37"/>
  <c r="M37"/>
  <c r="R36"/>
  <c r="N36"/>
  <c r="M36"/>
  <c r="R34"/>
  <c r="N34"/>
  <c r="M34"/>
  <c r="R33"/>
  <c r="N33"/>
  <c r="M33"/>
  <c r="R28"/>
  <c r="N28"/>
  <c r="M28"/>
  <c r="R27"/>
  <c r="N27"/>
  <c r="M27"/>
  <c r="R25"/>
  <c r="N25"/>
  <c r="M25"/>
  <c r="R24"/>
  <c r="N24"/>
  <c r="M24"/>
  <c r="R22"/>
  <c r="N22"/>
  <c r="M22"/>
  <c r="R21"/>
  <c r="N21"/>
  <c r="M21"/>
  <c r="R19"/>
  <c r="N19"/>
  <c r="M19"/>
  <c r="R18"/>
  <c r="N18"/>
  <c r="M18"/>
  <c r="R16"/>
  <c r="N16"/>
  <c r="M16"/>
  <c r="R15"/>
  <c r="N15"/>
  <c r="M15"/>
  <c r="R13"/>
  <c r="N13"/>
  <c r="M13"/>
  <c r="R12"/>
  <c r="N12"/>
  <c r="M12"/>
  <c r="R7"/>
  <c r="N7"/>
  <c r="M7"/>
  <c r="R6"/>
  <c r="N6"/>
  <c r="M6"/>
  <c r="O55" i="13"/>
  <c r="N55"/>
  <c r="O54"/>
  <c r="N54"/>
  <c r="O52"/>
  <c r="N52"/>
  <c r="O51"/>
  <c r="N51"/>
  <c r="O49"/>
  <c r="N49"/>
  <c r="O48"/>
  <c r="N48"/>
  <c r="O46"/>
  <c r="N46"/>
  <c r="O45"/>
  <c r="N45"/>
  <c r="O43"/>
  <c r="N43"/>
  <c r="O42"/>
  <c r="N42"/>
  <c r="O40"/>
  <c r="N40"/>
  <c r="O39"/>
  <c r="N39"/>
  <c r="O37"/>
  <c r="N37"/>
  <c r="O36"/>
  <c r="N36"/>
  <c r="O25"/>
  <c r="N25"/>
  <c r="O24"/>
  <c r="N24"/>
  <c r="O22"/>
  <c r="N22"/>
  <c r="O21"/>
  <c r="N21"/>
  <c r="O19"/>
  <c r="N19"/>
  <c r="O18"/>
  <c r="N18"/>
  <c r="O16"/>
  <c r="N16"/>
  <c r="O15"/>
  <c r="N15"/>
  <c r="O13"/>
  <c r="N13"/>
  <c r="O12"/>
  <c r="N12"/>
  <c r="O10"/>
  <c r="N10"/>
  <c r="O9"/>
  <c r="N9"/>
  <c r="O7"/>
  <c r="N7"/>
  <c r="O6"/>
  <c r="N6"/>
  <c r="K200" i="10"/>
  <c r="K165"/>
  <c r="K177"/>
  <c r="K214"/>
  <c r="J102" i="11"/>
  <c r="J101"/>
  <c r="J103"/>
  <c r="J54"/>
  <c r="J56"/>
  <c r="Y19" i="16" l="1"/>
  <c r="P23" i="14"/>
  <c r="P26"/>
  <c r="P25"/>
  <c r="P27"/>
  <c r="V9"/>
  <c r="P24"/>
  <c r="S17" i="11"/>
  <c r="S157"/>
  <c r="S156"/>
  <c r="Y74"/>
  <c r="M77"/>
  <c r="S56"/>
  <c r="S74"/>
  <c r="S160"/>
  <c r="M83"/>
  <c r="M43"/>
  <c r="M116"/>
  <c r="M123"/>
  <c r="M143"/>
  <c r="M169"/>
  <c r="S18"/>
  <c r="S59"/>
  <c r="S159"/>
  <c r="S155"/>
  <c r="Y60"/>
  <c r="Y57"/>
  <c r="AF41" i="8"/>
  <c r="M121" i="7"/>
  <c r="M122"/>
  <c r="S259"/>
  <c r="S261"/>
  <c r="Y124"/>
  <c r="Y58"/>
  <c r="M67"/>
  <c r="M69"/>
  <c r="M68"/>
  <c r="M70"/>
  <c r="M73"/>
  <c r="M215"/>
  <c r="S197"/>
  <c r="Y54"/>
  <c r="Y55"/>
  <c r="Y76"/>
  <c r="Y95"/>
  <c r="Y265"/>
  <c r="S52"/>
  <c r="S68"/>
  <c r="S123"/>
  <c r="S167"/>
  <c r="S165"/>
  <c r="S191"/>
  <c r="S192"/>
  <c r="S198"/>
  <c r="S200"/>
  <c r="S219"/>
  <c r="S262"/>
  <c r="S263"/>
  <c r="AE170"/>
  <c r="M60"/>
  <c r="M72"/>
  <c r="S51"/>
  <c r="S71"/>
  <c r="S73"/>
  <c r="S121"/>
  <c r="S166"/>
  <c r="S193"/>
  <c r="S252"/>
  <c r="S264"/>
  <c r="Y52"/>
  <c r="Y73"/>
  <c r="Y94"/>
  <c r="Y123"/>
  <c r="Y261"/>
  <c r="AE128"/>
  <c r="AE264"/>
  <c r="BG38" i="12"/>
  <c r="AK42"/>
  <c r="G72" i="20"/>
  <c r="AE121" i="7"/>
  <c r="BH29" i="12"/>
  <c r="BH36"/>
  <c r="BH57"/>
  <c r="BE56"/>
  <c r="AE70" i="2"/>
  <c r="BE58" i="12"/>
  <c r="BE20"/>
  <c r="BG22"/>
  <c r="BE37"/>
  <c r="BI37" s="1"/>
  <c r="BE44"/>
  <c r="BH53"/>
  <c r="BH52"/>
  <c r="BF52"/>
  <c r="AT53"/>
  <c r="BH45"/>
  <c r="BH44"/>
  <c r="AT45"/>
  <c r="AU45" s="1"/>
  <c r="BF45"/>
  <c r="BF44"/>
  <c r="Z78" i="2"/>
  <c r="AF78"/>
  <c r="BH28" i="12"/>
  <c r="BH56"/>
  <c r="BF29"/>
  <c r="AT29"/>
  <c r="BH59"/>
  <c r="BH58"/>
  <c r="BH20"/>
  <c r="BH21"/>
  <c r="AT21"/>
  <c r="AU21" s="1"/>
  <c r="BE53"/>
  <c r="BI53" s="1"/>
  <c r="BE52"/>
  <c r="BD53"/>
  <c r="BG53" s="1"/>
  <c r="BD52"/>
  <c r="BE45"/>
  <c r="BD44"/>
  <c r="BD45"/>
  <c r="BE29"/>
  <c r="BE28"/>
  <c r="BD28"/>
  <c r="BG28" s="1"/>
  <c r="BD29"/>
  <c r="BE21"/>
  <c r="Y78" i="2"/>
  <c r="BE36" i="12"/>
  <c r="BE59"/>
  <c r="BE57"/>
  <c r="BD37"/>
  <c r="BD36"/>
  <c r="BG36" s="1"/>
  <c r="BG26"/>
  <c r="BG64"/>
  <c r="AG91" i="2"/>
  <c r="E61" i="20"/>
  <c r="E52"/>
  <c r="G75"/>
  <c r="G79"/>
  <c r="AJ53" i="12"/>
  <c r="AV53"/>
  <c r="AW53" s="1"/>
  <c r="Z70" i="2"/>
  <c r="Z71" s="1"/>
  <c r="AJ29" i="12"/>
  <c r="AV29"/>
  <c r="AV57"/>
  <c r="AW57" s="1"/>
  <c r="AV21"/>
  <c r="AW21" s="1"/>
  <c r="Z79" i="2"/>
  <c r="AJ37" i="12"/>
  <c r="AV37"/>
  <c r="AJ45"/>
  <c r="AV45"/>
  <c r="Z88" i="2"/>
  <c r="Z89" s="1"/>
  <c r="G56" i="23"/>
  <c r="G57"/>
  <c r="G59"/>
  <c r="G61"/>
  <c r="G64"/>
  <c r="G66"/>
  <c r="G67"/>
  <c r="G68"/>
  <c r="G77"/>
  <c r="G58"/>
  <c r="G60"/>
  <c r="E73" i="20"/>
  <c r="E65"/>
  <c r="E77"/>
  <c r="G63" i="23"/>
  <c r="G65"/>
  <c r="G51" i="20"/>
  <c r="G61"/>
  <c r="G77"/>
  <c r="G52"/>
  <c r="G56"/>
  <c r="G57"/>
  <c r="G62"/>
  <c r="G67"/>
  <c r="G74"/>
  <c r="G62" i="23"/>
  <c r="G70"/>
  <c r="G71"/>
  <c r="G72"/>
  <c r="G73"/>
  <c r="G74"/>
  <c r="E49"/>
  <c r="E50"/>
  <c r="E51"/>
  <c r="E52"/>
  <c r="E53"/>
  <c r="E54"/>
  <c r="E56"/>
  <c r="E57"/>
  <c r="E58"/>
  <c r="E59"/>
  <c r="E60"/>
  <c r="E61"/>
  <c r="E62"/>
  <c r="E63"/>
  <c r="E64"/>
  <c r="E65"/>
  <c r="E66"/>
  <c r="E67"/>
  <c r="E68"/>
  <c r="E77"/>
  <c r="E76"/>
  <c r="E79" i="20"/>
  <c r="E79" i="23"/>
  <c r="E70"/>
  <c r="E71"/>
  <c r="E72"/>
  <c r="E73"/>
  <c r="E74"/>
  <c r="G75"/>
  <c r="E69"/>
  <c r="G49"/>
  <c r="G50"/>
  <c r="G51"/>
  <c r="G52"/>
  <c r="G53"/>
  <c r="G54"/>
  <c r="G76"/>
  <c r="G79"/>
  <c r="F78"/>
  <c r="G55"/>
  <c r="E75"/>
  <c r="G50" i="20"/>
  <c r="G59"/>
  <c r="G64"/>
  <c r="G55"/>
  <c r="G60"/>
  <c r="G66"/>
  <c r="G71"/>
  <c r="E64"/>
  <c r="E63"/>
  <c r="E66"/>
  <c r="E62"/>
  <c r="E75"/>
  <c r="E67"/>
  <c r="E68"/>
  <c r="E56"/>
  <c r="F78"/>
  <c r="G48"/>
  <c r="G49"/>
  <c r="G53"/>
  <c r="G54"/>
  <c r="E57"/>
  <c r="G58"/>
  <c r="G63"/>
  <c r="G68"/>
  <c r="G69"/>
  <c r="C78"/>
  <c r="E50"/>
  <c r="E55"/>
  <c r="E70"/>
  <c r="E58"/>
  <c r="E72"/>
  <c r="E49"/>
  <c r="E54"/>
  <c r="G65"/>
  <c r="E69"/>
  <c r="G70"/>
  <c r="G73"/>
  <c r="E59"/>
  <c r="E71"/>
  <c r="E60"/>
  <c r="E74"/>
  <c r="S97" i="2"/>
  <c r="AS44" i="12"/>
  <c r="S88" i="2"/>
  <c r="Y88"/>
  <c r="S79"/>
  <c r="Y79"/>
  <c r="AS58" i="12"/>
  <c r="AW58" s="1"/>
  <c r="AS20"/>
  <c r="S70" i="2"/>
  <c r="Y70"/>
  <c r="AS36" i="12"/>
  <c r="AW36" s="1"/>
  <c r="AS56"/>
  <c r="AW56" s="1"/>
  <c r="T97" i="2"/>
  <c r="T96"/>
  <c r="AJ52" i="12"/>
  <c r="AK52" s="1"/>
  <c r="AJ28"/>
  <c r="AK28" s="1"/>
  <c r="T70" i="2"/>
  <c r="T69"/>
  <c r="T79"/>
  <c r="T78"/>
  <c r="AJ36" i="12"/>
  <c r="AK36" s="1"/>
  <c r="AJ44"/>
  <c r="AK44" s="1"/>
  <c r="T88" i="2"/>
  <c r="T87"/>
  <c r="S106"/>
  <c r="U106" s="1"/>
  <c r="AG29" i="12"/>
  <c r="U29"/>
  <c r="AG37"/>
  <c r="AA60"/>
  <c r="AA62" s="1"/>
  <c r="AA61"/>
  <c r="AA63" s="1"/>
  <c r="U44"/>
  <c r="AG45"/>
  <c r="AF87" i="2"/>
  <c r="Z97"/>
  <c r="V30" i="14"/>
  <c r="Y128" i="11"/>
  <c r="M10"/>
  <c r="M9"/>
  <c r="M73"/>
  <c r="M126"/>
  <c r="M82"/>
  <c r="M93"/>
  <c r="M173"/>
  <c r="Y76"/>
  <c r="M107"/>
  <c r="X301" i="10"/>
  <c r="Z301" s="1"/>
  <c r="L301"/>
  <c r="Z334"/>
  <c r="Z128"/>
  <c r="Z95" i="8"/>
  <c r="N95"/>
  <c r="AF34"/>
  <c r="AF71"/>
  <c r="N45"/>
  <c r="AE123" i="7"/>
  <c r="AE207"/>
  <c r="AE210"/>
  <c r="AE270"/>
  <c r="M45"/>
  <c r="M47"/>
  <c r="M49"/>
  <c r="L35"/>
  <c r="AE118"/>
  <c r="AE221"/>
  <c r="AE230"/>
  <c r="AE242"/>
  <c r="AE120"/>
  <c r="AE117"/>
  <c r="AE119"/>
  <c r="M140"/>
  <c r="M169"/>
  <c r="AE102"/>
  <c r="K176"/>
  <c r="AE72"/>
  <c r="AE97"/>
  <c r="AE99"/>
  <c r="AE122"/>
  <c r="M205"/>
  <c r="M212"/>
  <c r="AE132"/>
  <c r="AD158"/>
  <c r="Y68"/>
  <c r="AE94"/>
  <c r="AE142"/>
  <c r="AE145"/>
  <c r="AE177"/>
  <c r="AD204"/>
  <c r="AE186"/>
  <c r="AE191"/>
  <c r="AE195"/>
  <c r="AE234"/>
  <c r="AE244"/>
  <c r="AE245"/>
  <c r="AE233"/>
  <c r="Y216"/>
  <c r="AE208"/>
  <c r="AE161"/>
  <c r="AE167"/>
  <c r="S164"/>
  <c r="AE141"/>
  <c r="AH131"/>
  <c r="AE96"/>
  <c r="M91"/>
  <c r="AE73"/>
  <c r="AE44"/>
  <c r="AE50"/>
  <c r="AH63"/>
  <c r="S160"/>
  <c r="Y187"/>
  <c r="Y189"/>
  <c r="Y192"/>
  <c r="Y213"/>
  <c r="AE74"/>
  <c r="AE91"/>
  <c r="AE206"/>
  <c r="AE261"/>
  <c r="L63"/>
  <c r="M117"/>
  <c r="AE48"/>
  <c r="AE53"/>
  <c r="AE70"/>
  <c r="AH269"/>
  <c r="BD56" i="12"/>
  <c r="BF57"/>
  <c r="BD58"/>
  <c r="BF59"/>
  <c r="BD20"/>
  <c r="BF21"/>
  <c r="U13"/>
  <c r="U37"/>
  <c r="AK22"/>
  <c r="AK30"/>
  <c r="BI14"/>
  <c r="BF56"/>
  <c r="BD57"/>
  <c r="BF58"/>
  <c r="BD59"/>
  <c r="BG14"/>
  <c r="BF20"/>
  <c r="BD21"/>
  <c r="BG42"/>
  <c r="BG54"/>
  <c r="AK47"/>
  <c r="AK65"/>
  <c r="X13"/>
  <c r="Y9"/>
  <c r="BI18"/>
  <c r="BG18"/>
  <c r="BG30"/>
  <c r="BG34"/>
  <c r="BG46"/>
  <c r="BG50"/>
  <c r="T37"/>
  <c r="AF20"/>
  <c r="Y11"/>
  <c r="Y15"/>
  <c r="Y19"/>
  <c r="Y22"/>
  <c r="Y24"/>
  <c r="Y25"/>
  <c r="Y26"/>
  <c r="Y30"/>
  <c r="Y31"/>
  <c r="Y33"/>
  <c r="Y34"/>
  <c r="Y35"/>
  <c r="Y41"/>
  <c r="Y43"/>
  <c r="Y48"/>
  <c r="AU14"/>
  <c r="AU18"/>
  <c r="AU30"/>
  <c r="AU38"/>
  <c r="AU42"/>
  <c r="BO21"/>
  <c r="AW14"/>
  <c r="AW18"/>
  <c r="AW22"/>
  <c r="AW26"/>
  <c r="BC28"/>
  <c r="BC29"/>
  <c r="AW42"/>
  <c r="AI14"/>
  <c r="X12"/>
  <c r="V21"/>
  <c r="V29"/>
  <c r="V37"/>
  <c r="V45"/>
  <c r="V53"/>
  <c r="AW30"/>
  <c r="AW46"/>
  <c r="AW54"/>
  <c r="AG13" i="2"/>
  <c r="AF106"/>
  <c r="AF79"/>
  <c r="AF96"/>
  <c r="AF97"/>
  <c r="AG7"/>
  <c r="AE87"/>
  <c r="AG19"/>
  <c r="Y96"/>
  <c r="AG18"/>
  <c r="AG72"/>
  <c r="AG90"/>
  <c r="S78"/>
  <c r="S96"/>
  <c r="AG21"/>
  <c r="AF23"/>
  <c r="AG24"/>
  <c r="AG27"/>
  <c r="AF29"/>
  <c r="AG37"/>
  <c r="AG43"/>
  <c r="AG55"/>
  <c r="AG63"/>
  <c r="AF65"/>
  <c r="AE69"/>
  <c r="AG93"/>
  <c r="AG99"/>
  <c r="AF101"/>
  <c r="AJ35"/>
  <c r="AJ38"/>
  <c r="AJ44"/>
  <c r="AJ47"/>
  <c r="AJ50"/>
  <c r="AJ53"/>
  <c r="AJ56"/>
  <c r="AJ59"/>
  <c r="AJ92"/>
  <c r="AJ95"/>
  <c r="AJ101"/>
  <c r="AA58" i="13"/>
  <c r="O55" i="2"/>
  <c r="M101" i="7"/>
  <c r="M88" i="2"/>
  <c r="W24" i="12"/>
  <c r="T105" i="2"/>
  <c r="T107" s="1"/>
  <c r="Y106"/>
  <c r="Y70" i="7"/>
  <c r="Z45" i="8"/>
  <c r="Y81" i="11"/>
  <c r="AF105" i="2"/>
  <c r="AG36"/>
  <c r="AG42"/>
  <c r="AG48"/>
  <c r="AG54"/>
  <c r="AF69"/>
  <c r="AF70"/>
  <c r="AG103"/>
  <c r="AE7" i="7"/>
  <c r="AE20"/>
  <c r="AE36"/>
  <c r="AE46"/>
  <c r="AE51"/>
  <c r="AE52"/>
  <c r="AE92"/>
  <c r="AH204"/>
  <c r="AD253"/>
  <c r="AE232"/>
  <c r="AE243"/>
  <c r="AE248"/>
  <c r="AD269"/>
  <c r="P204"/>
  <c r="M228"/>
  <c r="N70" i="2"/>
  <c r="M95"/>
  <c r="R35"/>
  <c r="R47"/>
  <c r="R53"/>
  <c r="R68"/>
  <c r="R86"/>
  <c r="M30" i="11"/>
  <c r="M33"/>
  <c r="M47"/>
  <c r="M55"/>
  <c r="M62"/>
  <c r="K125"/>
  <c r="M129"/>
  <c r="M151"/>
  <c r="M184"/>
  <c r="J11" i="14"/>
  <c r="S7" i="7"/>
  <c r="S163"/>
  <c r="S209"/>
  <c r="Y119"/>
  <c r="Y129"/>
  <c r="Y186"/>
  <c r="Y191"/>
  <c r="Y195"/>
  <c r="Y198"/>
  <c r="Y252"/>
  <c r="AC66" i="8"/>
  <c r="AC96"/>
  <c r="X154" i="10"/>
  <c r="AG6" i="2"/>
  <c r="AG12"/>
  <c r="AG15"/>
  <c r="AF17"/>
  <c r="AG66"/>
  <c r="AG67"/>
  <c r="AJ70"/>
  <c r="AJ74"/>
  <c r="AG76"/>
  <c r="AE88"/>
  <c r="AE89" s="1"/>
  <c r="AJ86"/>
  <c r="AG102"/>
  <c r="BI55" i="12"/>
  <c r="BI65"/>
  <c r="AE21" i="7"/>
  <c r="AH176"/>
  <c r="AE205"/>
  <c r="AE209"/>
  <c r="AE246"/>
  <c r="AE258"/>
  <c r="AE263"/>
  <c r="AI94" i="8"/>
  <c r="S11" i="11"/>
  <c r="S8"/>
  <c r="S13"/>
  <c r="S15"/>
  <c r="AG25" i="2"/>
  <c r="AE106"/>
  <c r="AG46"/>
  <c r="AG52"/>
  <c r="AG58"/>
  <c r="AF88"/>
  <c r="M76" i="11"/>
  <c r="M87"/>
  <c r="M178"/>
  <c r="AF21" i="12"/>
  <c r="S8" i="7"/>
  <c r="S45"/>
  <c r="S47"/>
  <c r="S49"/>
  <c r="AE64"/>
  <c r="AE69"/>
  <c r="AE83"/>
  <c r="AH115"/>
  <c r="AH220"/>
  <c r="AE229"/>
  <c r="AE231"/>
  <c r="AE249"/>
  <c r="AE247"/>
  <c r="AE250"/>
  <c r="AD48" i="9"/>
  <c r="AE49"/>
  <c r="T27" i="13"/>
  <c r="AI29" i="8"/>
  <c r="AH57" i="12"/>
  <c r="AJ40" i="2"/>
  <c r="Y5" i="7"/>
  <c r="Y9"/>
  <c r="X82"/>
  <c r="Y121"/>
  <c r="Y188"/>
  <c r="Y190"/>
  <c r="Y193"/>
  <c r="Y229"/>
  <c r="Y231"/>
  <c r="AE20" i="2"/>
  <c r="AF50"/>
  <c r="AJ71"/>
  <c r="AF74"/>
  <c r="AJ77"/>
  <c r="AJ80"/>
  <c r="AG82"/>
  <c r="AJ83"/>
  <c r="AE92"/>
  <c r="BG15" i="12"/>
  <c r="BG19"/>
  <c r="BG23"/>
  <c r="BG27"/>
  <c r="BG31"/>
  <c r="BG35"/>
  <c r="BG39"/>
  <c r="BG43"/>
  <c r="BG47"/>
  <c r="BG51"/>
  <c r="BG55"/>
  <c r="BG65"/>
  <c r="AD17" i="7"/>
  <c r="AC35"/>
  <c r="AD115"/>
  <c r="AE103"/>
  <c r="AE95"/>
  <c r="AE139"/>
  <c r="AE144"/>
  <c r="AE164"/>
  <c r="AE184"/>
  <c r="AE185"/>
  <c r="AD220"/>
  <c r="AE228"/>
  <c r="AE255"/>
  <c r="T52" i="12"/>
  <c r="T53"/>
  <c r="T95" i="8"/>
  <c r="S9" i="11"/>
  <c r="S10"/>
  <c r="AA16" i="2"/>
  <c r="AA22"/>
  <c r="AA28"/>
  <c r="AA99"/>
  <c r="Y6" i="11"/>
  <c r="Y11"/>
  <c r="Y16"/>
  <c r="Y25"/>
  <c r="Y24"/>
  <c r="Y45"/>
  <c r="AF8" i="2"/>
  <c r="AJ8"/>
  <c r="AE10"/>
  <c r="AE11" s="1"/>
  <c r="AF14"/>
  <c r="AJ14"/>
  <c r="AG16"/>
  <c r="AJ17"/>
  <c r="AF26"/>
  <c r="AJ26"/>
  <c r="AG28"/>
  <c r="AJ29"/>
  <c r="AE39"/>
  <c r="AE41" s="1"/>
  <c r="AG45"/>
  <c r="AF47"/>
  <c r="AE50"/>
  <c r="AG57"/>
  <c r="AF59"/>
  <c r="AG64"/>
  <c r="AJ65"/>
  <c r="AE74"/>
  <c r="AG84"/>
  <c r="AG85"/>
  <c r="AJ88"/>
  <c r="AJ96"/>
  <c r="AF104"/>
  <c r="AJ104"/>
  <c r="AJ106"/>
  <c r="BI22" i="12"/>
  <c r="BI26"/>
  <c r="BO28"/>
  <c r="BO29"/>
  <c r="BI30"/>
  <c r="BI34"/>
  <c r="BO36"/>
  <c r="BO37"/>
  <c r="BI38"/>
  <c r="BI42"/>
  <c r="BO44"/>
  <c r="BO45"/>
  <c r="BI46"/>
  <c r="BI50"/>
  <c r="BO52"/>
  <c r="BO53"/>
  <c r="BI54"/>
  <c r="BO58"/>
  <c r="BO59"/>
  <c r="BI64"/>
  <c r="AC17" i="7"/>
  <c r="AD63"/>
  <c r="AD82"/>
  <c r="AE65"/>
  <c r="AH82"/>
  <c r="AC115"/>
  <c r="AE93"/>
  <c r="AD131"/>
  <c r="AE127"/>
  <c r="AE140"/>
  <c r="AE143"/>
  <c r="AE159"/>
  <c r="AD176"/>
  <c r="AE162"/>
  <c r="AE165"/>
  <c r="AE187"/>
  <c r="AE189"/>
  <c r="Y6"/>
  <c r="Y67"/>
  <c r="Y118"/>
  <c r="Y122"/>
  <c r="Y185"/>
  <c r="Y197"/>
  <c r="Y208"/>
  <c r="Y218"/>
  <c r="Y230"/>
  <c r="Y235"/>
  <c r="V26" i="14"/>
  <c r="AE8" i="2"/>
  <c r="AE14"/>
  <c r="AE26"/>
  <c r="AG26" s="1"/>
  <c r="AF38"/>
  <c r="AF44"/>
  <c r="AF56"/>
  <c r="AE104"/>
  <c r="AG104" s="1"/>
  <c r="AE6" i="7"/>
  <c r="AE18"/>
  <c r="AC63"/>
  <c r="AE45"/>
  <c r="AE47"/>
  <c r="AE49"/>
  <c r="AC82"/>
  <c r="AE67"/>
  <c r="AE68"/>
  <c r="AE100"/>
  <c r="AE98"/>
  <c r="AH158"/>
  <c r="AE160"/>
  <c r="AE163"/>
  <c r="AE169"/>
  <c r="AE188"/>
  <c r="AE190"/>
  <c r="AE193"/>
  <c r="AE254"/>
  <c r="AE259"/>
  <c r="AF46" i="8"/>
  <c r="AF45"/>
  <c r="AF47"/>
  <c r="AE5" i="9"/>
  <c r="AD31"/>
  <c r="AE35"/>
  <c r="AJ10" i="2"/>
  <c r="T45" i="8"/>
  <c r="W96"/>
  <c r="S25" i="16"/>
  <c r="AU22" i="12"/>
  <c r="Y29" i="11"/>
  <c r="V27" i="14"/>
  <c r="AF20" i="2"/>
  <c r="AJ20"/>
  <c r="AG22"/>
  <c r="AJ23"/>
  <c r="AG33"/>
  <c r="AE38"/>
  <c r="AE44"/>
  <c r="AG49"/>
  <c r="AG51"/>
  <c r="AF53"/>
  <c r="AE56"/>
  <c r="AJ68"/>
  <c r="AG73"/>
  <c r="AG75"/>
  <c r="AG81"/>
  <c r="AF83"/>
  <c r="AF92"/>
  <c r="AG94"/>
  <c r="AG100"/>
  <c r="BI15" i="12"/>
  <c r="BI19"/>
  <c r="BI23"/>
  <c r="BI27"/>
  <c r="BI31"/>
  <c r="BI35"/>
  <c r="BI39"/>
  <c r="BI43"/>
  <c r="BI47"/>
  <c r="BI51"/>
  <c r="AH253" i="7"/>
  <c r="AE256"/>
  <c r="AE260"/>
  <c r="AD35"/>
  <c r="M58" i="11"/>
  <c r="M103"/>
  <c r="Y18"/>
  <c r="Y56"/>
  <c r="Y83"/>
  <c r="Y130"/>
  <c r="Y181"/>
  <c r="Q60" i="10"/>
  <c r="T57" i="13"/>
  <c r="T59" s="1"/>
  <c r="Y35" i="9"/>
  <c r="AE6"/>
  <c r="AC48"/>
  <c r="AF35" i="8"/>
  <c r="AI46"/>
  <c r="AF68"/>
  <c r="AF69"/>
  <c r="AF6"/>
  <c r="AC46"/>
  <c r="AF8"/>
  <c r="AE44"/>
  <c r="AF33"/>
  <c r="AD66"/>
  <c r="AF48"/>
  <c r="AI96"/>
  <c r="S96"/>
  <c r="T96" s="1"/>
  <c r="T67"/>
  <c r="Q46"/>
  <c r="W46"/>
  <c r="Z13"/>
  <c r="AD94"/>
  <c r="Y96"/>
  <c r="Z96" s="1"/>
  <c r="Z67"/>
  <c r="AE94"/>
  <c r="AF95"/>
  <c r="Q96"/>
  <c r="N67"/>
  <c r="AI66"/>
  <c r="AE66"/>
  <c r="AF66" s="1"/>
  <c r="AF67"/>
  <c r="AD29"/>
  <c r="AF70"/>
  <c r="AD96"/>
  <c r="T28" i="13"/>
  <c r="AC46"/>
  <c r="AC52"/>
  <c r="AC6"/>
  <c r="AC12"/>
  <c r="AC15"/>
  <c r="AC18"/>
  <c r="AC21"/>
  <c r="AC24"/>
  <c r="AC51"/>
  <c r="AH46"/>
  <c r="AC25"/>
  <c r="AC40"/>
  <c r="AH52"/>
  <c r="AH6"/>
  <c r="AH12"/>
  <c r="W60" i="10"/>
  <c r="Z97"/>
  <c r="Z117"/>
  <c r="AC60"/>
  <c r="AF60"/>
  <c r="Z99"/>
  <c r="AF58" i="13"/>
  <c r="AC9"/>
  <c r="AC19"/>
  <c r="AC45"/>
  <c r="AG56"/>
  <c r="AC7"/>
  <c r="AC43"/>
  <c r="W19"/>
  <c r="W25"/>
  <c r="W49"/>
  <c r="AF14"/>
  <c r="AH18"/>
  <c r="AC39"/>
  <c r="AH40"/>
  <c r="AC49"/>
  <c r="AC55"/>
  <c r="X6"/>
  <c r="X15"/>
  <c r="X39"/>
  <c r="X45"/>
  <c r="AH16"/>
  <c r="AH24"/>
  <c r="AC36"/>
  <c r="AC48"/>
  <c r="AG50"/>
  <c r="Q12"/>
  <c r="X40"/>
  <c r="X41" s="1"/>
  <c r="AH10"/>
  <c r="AC13"/>
  <c r="AH22"/>
  <c r="AC37"/>
  <c r="AC38" s="1"/>
  <c r="AC42"/>
  <c r="AG44"/>
  <c r="AC54"/>
  <c r="AE33" i="9"/>
  <c r="AF36" i="8"/>
  <c r="AD44"/>
  <c r="AF30"/>
  <c r="AF31"/>
  <c r="AE96"/>
  <c r="AE29"/>
  <c r="AE43" i="7"/>
  <c r="AE90"/>
  <c r="AE19"/>
  <c r="AC204"/>
  <c r="AC220"/>
  <c r="AC269"/>
  <c r="AE5"/>
  <c r="AE66"/>
  <c r="AC131"/>
  <c r="AE131" s="1"/>
  <c r="AC158"/>
  <c r="AE158" s="1"/>
  <c r="AC176"/>
  <c r="AE176" s="1"/>
  <c r="AC253"/>
  <c r="BG37" i="12"/>
  <c r="BG8"/>
  <c r="BG9"/>
  <c r="BG10"/>
  <c r="BG11"/>
  <c r="BO12"/>
  <c r="BO13"/>
  <c r="BG16"/>
  <c r="BG17"/>
  <c r="BG24"/>
  <c r="BG25"/>
  <c r="BG32"/>
  <c r="BG33"/>
  <c r="BG40"/>
  <c r="BG41"/>
  <c r="BG48"/>
  <c r="BG49"/>
  <c r="BO56"/>
  <c r="BO57"/>
  <c r="BF12"/>
  <c r="BF13"/>
  <c r="BI8"/>
  <c r="BI9"/>
  <c r="BI10"/>
  <c r="BI11"/>
  <c r="BE12"/>
  <c r="BM12"/>
  <c r="BE13"/>
  <c r="BM13"/>
  <c r="BI16"/>
  <c r="BI17"/>
  <c r="BI24"/>
  <c r="BI25"/>
  <c r="BI32"/>
  <c r="BI33"/>
  <c r="BI40"/>
  <c r="BI41"/>
  <c r="BI48"/>
  <c r="BI49"/>
  <c r="BM56"/>
  <c r="BM57"/>
  <c r="BD12"/>
  <c r="BH12"/>
  <c r="BD13"/>
  <c r="BH13"/>
  <c r="AF71" i="2"/>
  <c r="AF80"/>
  <c r="AJ60"/>
  <c r="AJ89"/>
  <c r="AJ98"/>
  <c r="AJ107"/>
  <c r="AH39" i="13"/>
  <c r="AF44"/>
  <c r="AH45"/>
  <c r="AF50"/>
  <c r="AH51"/>
  <c r="AF56"/>
  <c r="AF9" i="2"/>
  <c r="AG9" s="1"/>
  <c r="AJ9"/>
  <c r="AJ31"/>
  <c r="AF35"/>
  <c r="AF39"/>
  <c r="AG39" s="1"/>
  <c r="AJ39"/>
  <c r="AJ61"/>
  <c r="AJ69"/>
  <c r="AF77"/>
  <c r="AJ79"/>
  <c r="AJ87"/>
  <c r="AF95"/>
  <c r="AJ97"/>
  <c r="AJ105"/>
  <c r="AE17"/>
  <c r="AG17" s="1"/>
  <c r="AE23"/>
  <c r="AG23" s="1"/>
  <c r="AE29"/>
  <c r="AE31"/>
  <c r="AE35"/>
  <c r="AE47"/>
  <c r="AG47" s="1"/>
  <c r="AE53"/>
  <c r="AE59"/>
  <c r="AG59" s="1"/>
  <c r="AE61"/>
  <c r="AE65"/>
  <c r="AG65" s="1"/>
  <c r="AE77"/>
  <c r="AE79"/>
  <c r="AE83"/>
  <c r="AE95"/>
  <c r="AE97"/>
  <c r="AE101"/>
  <c r="AE105"/>
  <c r="AH36" i="13"/>
  <c r="AF41"/>
  <c r="AH42"/>
  <c r="AF47"/>
  <c r="AH48"/>
  <c r="AF53"/>
  <c r="AH54"/>
  <c r="AF10" i="2"/>
  <c r="AF40"/>
  <c r="AF61" s="1"/>
  <c r="AF68"/>
  <c r="AF86"/>
  <c r="AF57" i="13"/>
  <c r="AG58"/>
  <c r="AE30" i="2"/>
  <c r="AG34"/>
  <c r="AE60"/>
  <c r="AE68"/>
  <c r="AE78"/>
  <c r="AG78" s="1"/>
  <c r="AE86"/>
  <c r="AE96"/>
  <c r="AG96" s="1"/>
  <c r="AF11" i="13"/>
  <c r="AF17"/>
  <c r="AF23"/>
  <c r="AF27"/>
  <c r="AG28"/>
  <c r="AC10"/>
  <c r="AG14"/>
  <c r="AC16"/>
  <c r="AG20"/>
  <c r="AC22"/>
  <c r="AG26"/>
  <c r="AF28"/>
  <c r="AH9"/>
  <c r="AH15"/>
  <c r="AF20"/>
  <c r="AH21"/>
  <c r="AF26"/>
  <c r="AD7"/>
  <c r="AH7"/>
  <c r="AF8"/>
  <c r="AD9"/>
  <c r="AD13"/>
  <c r="AH13"/>
  <c r="AD15"/>
  <c r="AD19"/>
  <c r="AH19"/>
  <c r="AD21"/>
  <c r="AD25"/>
  <c r="AH25"/>
  <c r="AD37"/>
  <c r="AH37"/>
  <c r="AF38"/>
  <c r="AD39"/>
  <c r="AD43"/>
  <c r="AH43"/>
  <c r="AD45"/>
  <c r="AD49"/>
  <c r="AH49"/>
  <c r="AD51"/>
  <c r="AD55"/>
  <c r="AH55"/>
  <c r="AG11"/>
  <c r="AG17"/>
  <c r="AG23"/>
  <c r="AG27"/>
  <c r="AG41"/>
  <c r="AG47"/>
  <c r="AG53"/>
  <c r="AG57"/>
  <c r="AD6"/>
  <c r="AD10"/>
  <c r="AD12"/>
  <c r="AD16"/>
  <c r="AD18"/>
  <c r="AD22"/>
  <c r="AD24"/>
  <c r="AD36"/>
  <c r="AD40"/>
  <c r="AD42"/>
  <c r="AD46"/>
  <c r="AD48"/>
  <c r="AD52"/>
  <c r="AD54"/>
  <c r="AG8"/>
  <c r="AG38"/>
  <c r="V13" i="12"/>
  <c r="W17"/>
  <c r="O13" i="2"/>
  <c r="O76"/>
  <c r="R17"/>
  <c r="U21" i="12"/>
  <c r="M65" i="7"/>
  <c r="M188"/>
  <c r="M185"/>
  <c r="M190"/>
  <c r="M193"/>
  <c r="M229"/>
  <c r="M231"/>
  <c r="M235"/>
  <c r="M40" i="11"/>
  <c r="J21" i="14"/>
  <c r="AK18" i="12"/>
  <c r="S6" i="7"/>
  <c r="Y105" i="2"/>
  <c r="Z106"/>
  <c r="Y7" i="7"/>
  <c r="Y149"/>
  <c r="Y214"/>
  <c r="Y233"/>
  <c r="Y234"/>
  <c r="Z48" i="8"/>
  <c r="Z134" i="10"/>
  <c r="Z182"/>
  <c r="Z191"/>
  <c r="Z185"/>
  <c r="Z192"/>
  <c r="X303"/>
  <c r="Y5" i="11"/>
  <c r="Y12"/>
  <c r="Y13"/>
  <c r="Y15"/>
  <c r="Y20"/>
  <c r="Y82"/>
  <c r="T13" i="12"/>
  <c r="N95" i="2"/>
  <c r="X57" i="12"/>
  <c r="X20"/>
  <c r="X37"/>
  <c r="X45"/>
  <c r="X53"/>
  <c r="M22" i="7"/>
  <c r="M96"/>
  <c r="K131"/>
  <c r="M187"/>
  <c r="M186"/>
  <c r="M189"/>
  <c r="M191"/>
  <c r="M192"/>
  <c r="L204"/>
  <c r="M209"/>
  <c r="M216"/>
  <c r="M234"/>
  <c r="L253"/>
  <c r="M39" i="11"/>
  <c r="M121"/>
  <c r="M139"/>
  <c r="J27" i="14"/>
  <c r="J5"/>
  <c r="AJ57" i="12"/>
  <c r="AJ59"/>
  <c r="AI54"/>
  <c r="S9" i="7"/>
  <c r="AB51" i="13"/>
  <c r="AA46" i="2"/>
  <c r="AA52"/>
  <c r="AA58"/>
  <c r="AA64"/>
  <c r="AA82"/>
  <c r="Y97"/>
  <c r="AU46" i="12"/>
  <c r="Y8" i="7"/>
  <c r="Y27"/>
  <c r="Y48"/>
  <c r="Y91"/>
  <c r="Y92"/>
  <c r="Y144"/>
  <c r="Y147"/>
  <c r="X253"/>
  <c r="Y232"/>
  <c r="Y46" i="8"/>
  <c r="Y79" i="11"/>
  <c r="Y151"/>
  <c r="X15" i="16"/>
  <c r="V22" i="14"/>
  <c r="V24"/>
  <c r="U28"/>
  <c r="V28" s="1"/>
  <c r="Y23"/>
  <c r="V21"/>
  <c r="V25"/>
  <c r="U23"/>
  <c r="U35" s="1"/>
  <c r="V20"/>
  <c r="V19"/>
  <c r="U18"/>
  <c r="X174" i="11"/>
  <c r="X188" s="1"/>
  <c r="Y155"/>
  <c r="Y158"/>
  <c r="Y154"/>
  <c r="Y159"/>
  <c r="Y153"/>
  <c r="Y157"/>
  <c r="Y152"/>
  <c r="Y156"/>
  <c r="X172"/>
  <c r="Y150"/>
  <c r="Y143"/>
  <c r="Y127"/>
  <c r="AB142"/>
  <c r="Y126"/>
  <c r="Y123"/>
  <c r="Y80"/>
  <c r="Y77"/>
  <c r="Y73"/>
  <c r="AB55"/>
  <c r="X58"/>
  <c r="Y58" s="1"/>
  <c r="AB72"/>
  <c r="AB54"/>
  <c r="Y31"/>
  <c r="Y32"/>
  <c r="Y33"/>
  <c r="Y30"/>
  <c r="Y28"/>
  <c r="AB46"/>
  <c r="Y27"/>
  <c r="X26"/>
  <c r="AC303" i="10"/>
  <c r="Z229"/>
  <c r="Z29"/>
  <c r="Z34"/>
  <c r="Z183"/>
  <c r="Z188"/>
  <c r="Z190"/>
  <c r="Z205"/>
  <c r="Z248"/>
  <c r="Z50"/>
  <c r="Z187"/>
  <c r="Z186"/>
  <c r="Z195"/>
  <c r="Z194"/>
  <c r="Z344"/>
  <c r="Z181"/>
  <c r="Z184"/>
  <c r="Z189"/>
  <c r="Z193"/>
  <c r="Z203"/>
  <c r="AC251"/>
  <c r="AC152"/>
  <c r="Z112"/>
  <c r="Z47"/>
  <c r="Z33"/>
  <c r="Z30"/>
  <c r="M7" i="9"/>
  <c r="Y34"/>
  <c r="Y15"/>
  <c r="Y16"/>
  <c r="AB31"/>
  <c r="Z71" i="8"/>
  <c r="Z33"/>
  <c r="Y270" i="7"/>
  <c r="X269"/>
  <c r="Y251"/>
  <c r="AB253"/>
  <c r="Y221"/>
  <c r="X220"/>
  <c r="Y212"/>
  <c r="Y184"/>
  <c r="AB204"/>
  <c r="X204"/>
  <c r="Y132"/>
  <c r="X131"/>
  <c r="Y93"/>
  <c r="Y116"/>
  <c r="X115"/>
  <c r="Y177"/>
  <c r="X176"/>
  <c r="Y140"/>
  <c r="Y143"/>
  <c r="Y142"/>
  <c r="Y148"/>
  <c r="Y145"/>
  <c r="Y141"/>
  <c r="Y146"/>
  <c r="AB158"/>
  <c r="Y64"/>
  <c r="Y44"/>
  <c r="Y50"/>
  <c r="Y45"/>
  <c r="Y49"/>
  <c r="AB45"/>
  <c r="Y46"/>
  <c r="AB47"/>
  <c r="Y51"/>
  <c r="Y47"/>
  <c r="X63"/>
  <c r="AB63"/>
  <c r="Y36"/>
  <c r="AB19"/>
  <c r="X19"/>
  <c r="Y19" s="1"/>
  <c r="X17"/>
  <c r="AV44" i="12"/>
  <c r="AA84" i="2"/>
  <c r="AA81"/>
  <c r="Z105"/>
  <c r="AA72"/>
  <c r="O22"/>
  <c r="N87"/>
  <c r="R14"/>
  <c r="R20"/>
  <c r="R26"/>
  <c r="U51"/>
  <c r="T53"/>
  <c r="U57"/>
  <c r="T59"/>
  <c r="U72"/>
  <c r="Z101"/>
  <c r="AA102"/>
  <c r="Z104"/>
  <c r="Z74"/>
  <c r="Z83"/>
  <c r="AA90"/>
  <c r="Z92"/>
  <c r="AA100"/>
  <c r="U16"/>
  <c r="AA66"/>
  <c r="AA63"/>
  <c r="Z65"/>
  <c r="AA57"/>
  <c r="Z59"/>
  <c r="AA54"/>
  <c r="Z56"/>
  <c r="AA51"/>
  <c r="Z53"/>
  <c r="AA48"/>
  <c r="Z50"/>
  <c r="AA45"/>
  <c r="Z47"/>
  <c r="AA42"/>
  <c r="Z44"/>
  <c r="Z38"/>
  <c r="AA27"/>
  <c r="Z29"/>
  <c r="Z26"/>
  <c r="AA21"/>
  <c r="Z23"/>
  <c r="Z20"/>
  <c r="AA15"/>
  <c r="Z17"/>
  <c r="AB7" i="13"/>
  <c r="AB9"/>
  <c r="Z14" i="2"/>
  <c r="Z8"/>
  <c r="Z9"/>
  <c r="Z30" s="1"/>
  <c r="W24" i="16"/>
  <c r="Y25"/>
  <c r="Y17"/>
  <c r="Y16"/>
  <c r="Y5"/>
  <c r="Y8"/>
  <c r="W6"/>
  <c r="W15" s="1"/>
  <c r="Y35" i="14"/>
  <c r="Y20"/>
  <c r="T9"/>
  <c r="Y189" i="11"/>
  <c r="Y177"/>
  <c r="Y180"/>
  <c r="Y175"/>
  <c r="Y178"/>
  <c r="Y176"/>
  <c r="Y182"/>
  <c r="Y179"/>
  <c r="W174"/>
  <c r="W188" s="1"/>
  <c r="AB188"/>
  <c r="Y173"/>
  <c r="AB170"/>
  <c r="W172"/>
  <c r="AB150"/>
  <c r="Y129"/>
  <c r="AB127"/>
  <c r="W142"/>
  <c r="Y102"/>
  <c r="Y103"/>
  <c r="Y101"/>
  <c r="Y104"/>
  <c r="AB125"/>
  <c r="W100"/>
  <c r="W125" s="1"/>
  <c r="AB100"/>
  <c r="Y93"/>
  <c r="AB92"/>
  <c r="W75"/>
  <c r="Y75" s="1"/>
  <c r="Y54"/>
  <c r="W72"/>
  <c r="Y55"/>
  <c r="Y47"/>
  <c r="W46"/>
  <c r="Y9"/>
  <c r="Y10"/>
  <c r="Y17"/>
  <c r="Y14"/>
  <c r="AB26"/>
  <c r="Y7"/>
  <c r="Y8"/>
  <c r="Y22"/>
  <c r="W26"/>
  <c r="Z329" i="10"/>
  <c r="AC283"/>
  <c r="W46"/>
  <c r="Z71"/>
  <c r="Z213"/>
  <c r="Z312"/>
  <c r="Z94"/>
  <c r="Z260"/>
  <c r="Z302"/>
  <c r="AC343"/>
  <c r="AC345"/>
  <c r="X325"/>
  <c r="Z310"/>
  <c r="AC325"/>
  <c r="Z262"/>
  <c r="AC281"/>
  <c r="Z328"/>
  <c r="Z314"/>
  <c r="Z32"/>
  <c r="Z66"/>
  <c r="Z68"/>
  <c r="Z105"/>
  <c r="Z113"/>
  <c r="AC129"/>
  <c r="Z326"/>
  <c r="Z332"/>
  <c r="Z231"/>
  <c r="Z234"/>
  <c r="X249"/>
  <c r="Z249" s="1"/>
  <c r="Z230"/>
  <c r="Z235"/>
  <c r="Z233"/>
  <c r="AC204"/>
  <c r="W58"/>
  <c r="Z28"/>
  <c r="Z31"/>
  <c r="Z52"/>
  <c r="Z54"/>
  <c r="Z59"/>
  <c r="Z70"/>
  <c r="Z111"/>
  <c r="Z116"/>
  <c r="Z133"/>
  <c r="AC154"/>
  <c r="Z180"/>
  <c r="Z214"/>
  <c r="AC226"/>
  <c r="AC249"/>
  <c r="Z259"/>
  <c r="Z283"/>
  <c r="Z311"/>
  <c r="Z337"/>
  <c r="W325"/>
  <c r="X60"/>
  <c r="Z91"/>
  <c r="Z114"/>
  <c r="Z162"/>
  <c r="Z167"/>
  <c r="X281"/>
  <c r="Z284"/>
  <c r="Z330"/>
  <c r="Z48"/>
  <c r="X226"/>
  <c r="Z228"/>
  <c r="Z232"/>
  <c r="Z261"/>
  <c r="Z285"/>
  <c r="X343"/>
  <c r="Z313"/>
  <c r="Z335"/>
  <c r="Z227"/>
  <c r="Z212"/>
  <c r="AC206"/>
  <c r="Z164"/>
  <c r="Z163"/>
  <c r="Z166"/>
  <c r="Z165"/>
  <c r="AC179"/>
  <c r="AB15" i="13"/>
  <c r="Z132" i="10"/>
  <c r="X152"/>
  <c r="Z135"/>
  <c r="Z136"/>
  <c r="Z131"/>
  <c r="AC58"/>
  <c r="Z130"/>
  <c r="Z115"/>
  <c r="AC46"/>
  <c r="Z95"/>
  <c r="AC104"/>
  <c r="AC14"/>
  <c r="X14"/>
  <c r="Z14" s="1"/>
  <c r="Z15"/>
  <c r="AC27"/>
  <c r="Z90"/>
  <c r="X67"/>
  <c r="Z67" s="1"/>
  <c r="X69"/>
  <c r="Z69" s="1"/>
  <c r="X75"/>
  <c r="AC67"/>
  <c r="Z12"/>
  <c r="X6"/>
  <c r="Z6" s="1"/>
  <c r="Y14" i="9"/>
  <c r="X48"/>
  <c r="S34"/>
  <c r="Y33"/>
  <c r="Y32"/>
  <c r="Y7"/>
  <c r="Y6"/>
  <c r="Y13"/>
  <c r="Y5"/>
  <c r="Y17"/>
  <c r="W31"/>
  <c r="Z30" i="8"/>
  <c r="Y44"/>
  <c r="AC94"/>
  <c r="Z32"/>
  <c r="Z34"/>
  <c r="Z14"/>
  <c r="Z15"/>
  <c r="Z70"/>
  <c r="Z72"/>
  <c r="T71"/>
  <c r="Y29"/>
  <c r="X94"/>
  <c r="Z69"/>
  <c r="T72"/>
  <c r="Z31"/>
  <c r="X44"/>
  <c r="Y66"/>
  <c r="Y94"/>
  <c r="X66"/>
  <c r="Z8"/>
  <c r="Z12"/>
  <c r="X29"/>
  <c r="Z9"/>
  <c r="AC29"/>
  <c r="Z7"/>
  <c r="Z11"/>
  <c r="Y259" i="7"/>
  <c r="Y257"/>
  <c r="Y258"/>
  <c r="Y260"/>
  <c r="Y255"/>
  <c r="AB269"/>
  <c r="W269"/>
  <c r="Y254"/>
  <c r="W253"/>
  <c r="Y253" s="1"/>
  <c r="Y228"/>
  <c r="Y207"/>
  <c r="Y210"/>
  <c r="Y209"/>
  <c r="Y211"/>
  <c r="AB220"/>
  <c r="W220"/>
  <c r="Y205"/>
  <c r="W204"/>
  <c r="Y163"/>
  <c r="Y161"/>
  <c r="Y167"/>
  <c r="Y164"/>
  <c r="Y162"/>
  <c r="Y165"/>
  <c r="W176"/>
  <c r="AB176"/>
  <c r="Y159"/>
  <c r="W158"/>
  <c r="AB131"/>
  <c r="W117"/>
  <c r="Y117" s="1"/>
  <c r="AB117"/>
  <c r="W115"/>
  <c r="AB115"/>
  <c r="Y83"/>
  <c r="Y69"/>
  <c r="Y65"/>
  <c r="AB82"/>
  <c r="W66"/>
  <c r="Y66" s="1"/>
  <c r="W63"/>
  <c r="Y43"/>
  <c r="Y22"/>
  <c r="Y21"/>
  <c r="W35"/>
  <c r="Y20"/>
  <c r="Y18"/>
  <c r="W17"/>
  <c r="X9" i="13"/>
  <c r="X42"/>
  <c r="X54"/>
  <c r="AB45"/>
  <c r="X7"/>
  <c r="X55"/>
  <c r="W55"/>
  <c r="AW65" i="12"/>
  <c r="AW64"/>
  <c r="AU65"/>
  <c r="AU64"/>
  <c r="AW55"/>
  <c r="AU55"/>
  <c r="AU54"/>
  <c r="AW51"/>
  <c r="AW50"/>
  <c r="AU51"/>
  <c r="AU50"/>
  <c r="BC53"/>
  <c r="AW52"/>
  <c r="BC52"/>
  <c r="BA53"/>
  <c r="AU52"/>
  <c r="BA52"/>
  <c r="AW47"/>
  <c r="AU47"/>
  <c r="AW43"/>
  <c r="AU43"/>
  <c r="BC45"/>
  <c r="BC44"/>
  <c r="BA45"/>
  <c r="AU44"/>
  <c r="BA44"/>
  <c r="AW39"/>
  <c r="AW38"/>
  <c r="AU39"/>
  <c r="AW35"/>
  <c r="AW34"/>
  <c r="AU35"/>
  <c r="AU34"/>
  <c r="BC37"/>
  <c r="BC36"/>
  <c r="BA37"/>
  <c r="AU36"/>
  <c r="BA36"/>
  <c r="AW31"/>
  <c r="AU31"/>
  <c r="AW27"/>
  <c r="AU27"/>
  <c r="AU26"/>
  <c r="BA29"/>
  <c r="AW28"/>
  <c r="AU28"/>
  <c r="BA28"/>
  <c r="AW23"/>
  <c r="AU23"/>
  <c r="AW19"/>
  <c r="AU19"/>
  <c r="BA21"/>
  <c r="BA59"/>
  <c r="BC21"/>
  <c r="AW20"/>
  <c r="BC20"/>
  <c r="AU20"/>
  <c r="BA20"/>
  <c r="AW15"/>
  <c r="AU15"/>
  <c r="BC59"/>
  <c r="BC58"/>
  <c r="AU58"/>
  <c r="BA58"/>
  <c r="BC61"/>
  <c r="BC60"/>
  <c r="BA61"/>
  <c r="BA60"/>
  <c r="Y104" i="2"/>
  <c r="AA104" s="1"/>
  <c r="AD104"/>
  <c r="AB25" i="13"/>
  <c r="AD101" i="2"/>
  <c r="Y101"/>
  <c r="AA101" s="1"/>
  <c r="AD97"/>
  <c r="AA94"/>
  <c r="AA93"/>
  <c r="AA96"/>
  <c r="AD95"/>
  <c r="Y98"/>
  <c r="Y92"/>
  <c r="AD92"/>
  <c r="AD88"/>
  <c r="AD87"/>
  <c r="AD86"/>
  <c r="AB40" i="13"/>
  <c r="Y83" i="2"/>
  <c r="AA83" s="1"/>
  <c r="AD83"/>
  <c r="AA76"/>
  <c r="AD79"/>
  <c r="AD77"/>
  <c r="AA75"/>
  <c r="AB43" i="13"/>
  <c r="Y74" i="2"/>
  <c r="AD74"/>
  <c r="AB13" i="13"/>
  <c r="AD70" i="2"/>
  <c r="AD68"/>
  <c r="AD69"/>
  <c r="AD65"/>
  <c r="Y65"/>
  <c r="AA65" s="1"/>
  <c r="Y59"/>
  <c r="AD59"/>
  <c r="Y56"/>
  <c r="AA56" s="1"/>
  <c r="AD56"/>
  <c r="AD53"/>
  <c r="Y53"/>
  <c r="Y50"/>
  <c r="AA50" s="1"/>
  <c r="AD50"/>
  <c r="AD47"/>
  <c r="Y47"/>
  <c r="Y44"/>
  <c r="AA44" s="1"/>
  <c r="AD44"/>
  <c r="AD40"/>
  <c r="Y40"/>
  <c r="Y39"/>
  <c r="Y60" s="1"/>
  <c r="Y38"/>
  <c r="AD38"/>
  <c r="AD39"/>
  <c r="AA34"/>
  <c r="AD106"/>
  <c r="AB36" i="13"/>
  <c r="AA33" i="2"/>
  <c r="AD35"/>
  <c r="AD105"/>
  <c r="AD29"/>
  <c r="Y29"/>
  <c r="AA24"/>
  <c r="Y26"/>
  <c r="AD26"/>
  <c r="AD23"/>
  <c r="Y23"/>
  <c r="AA18"/>
  <c r="Y20"/>
  <c r="AD20"/>
  <c r="Y17"/>
  <c r="AA17" s="1"/>
  <c r="AD17"/>
  <c r="Y14"/>
  <c r="AD14"/>
  <c r="AA12"/>
  <c r="AD10"/>
  <c r="Y10"/>
  <c r="Y31" s="1"/>
  <c r="Y8"/>
  <c r="AD8"/>
  <c r="Y9"/>
  <c r="Y30" s="1"/>
  <c r="W9" i="13"/>
  <c r="X12"/>
  <c r="W18"/>
  <c r="X19"/>
  <c r="W22"/>
  <c r="X36"/>
  <c r="X37"/>
  <c r="W39"/>
  <c r="X43"/>
  <c r="W48"/>
  <c r="AB52"/>
  <c r="AB55"/>
  <c r="W6"/>
  <c r="W12"/>
  <c r="AB16"/>
  <c r="X21"/>
  <c r="X24"/>
  <c r="W37"/>
  <c r="W40"/>
  <c r="W52"/>
  <c r="W16"/>
  <c r="W21"/>
  <c r="W24"/>
  <c r="X25"/>
  <c r="W42"/>
  <c r="W46"/>
  <c r="W54"/>
  <c r="W10"/>
  <c r="W13"/>
  <c r="X18"/>
  <c r="AB19"/>
  <c r="AB22"/>
  <c r="W36"/>
  <c r="AB39"/>
  <c r="W43"/>
  <c r="X48"/>
  <c r="W51"/>
  <c r="X24" i="16"/>
  <c r="V36" i="14"/>
  <c r="T35"/>
  <c r="X72" i="11"/>
  <c r="X125"/>
  <c r="X46"/>
  <c r="X92"/>
  <c r="X142"/>
  <c r="Y142" s="1"/>
  <c r="Z303" i="10"/>
  <c r="Z98"/>
  <c r="Z153"/>
  <c r="Z250"/>
  <c r="Z309"/>
  <c r="X46"/>
  <c r="Z46" s="1"/>
  <c r="X58"/>
  <c r="X129"/>
  <c r="Z154"/>
  <c r="X179"/>
  <c r="X206"/>
  <c r="Z206" s="1"/>
  <c r="Z251"/>
  <c r="X345"/>
  <c r="Z13"/>
  <c r="X89"/>
  <c r="X104"/>
  <c r="Z282"/>
  <c r="Z327"/>
  <c r="X27"/>
  <c r="X204"/>
  <c r="Z331"/>
  <c r="X31" i="9"/>
  <c r="X46" i="8"/>
  <c r="Z6"/>
  <c r="Z47"/>
  <c r="Z68"/>
  <c r="Y206" i="7"/>
  <c r="Y256"/>
  <c r="X35"/>
  <c r="Y139"/>
  <c r="X158"/>
  <c r="Y158" s="1"/>
  <c r="Y160"/>
  <c r="AU56" i="12"/>
  <c r="AW59"/>
  <c r="AW29"/>
  <c r="AW37"/>
  <c r="AW45"/>
  <c r="AU57"/>
  <c r="AU59"/>
  <c r="AU29"/>
  <c r="AU37"/>
  <c r="AU53"/>
  <c r="AU8"/>
  <c r="AU9"/>
  <c r="AU10"/>
  <c r="AU11"/>
  <c r="BC12"/>
  <c r="BC13"/>
  <c r="AU16"/>
  <c r="AU17"/>
  <c r="AU24"/>
  <c r="AU25"/>
  <c r="AU32"/>
  <c r="AU33"/>
  <c r="AU40"/>
  <c r="AU41"/>
  <c r="AU48"/>
  <c r="AU49"/>
  <c r="BC56"/>
  <c r="BC57"/>
  <c r="AT12"/>
  <c r="AT13"/>
  <c r="AW8"/>
  <c r="AW9"/>
  <c r="AW10"/>
  <c r="AW11"/>
  <c r="AS12"/>
  <c r="BA12"/>
  <c r="AS13"/>
  <c r="AS61" s="1"/>
  <c r="AS63" s="1"/>
  <c r="BA13"/>
  <c r="AW16"/>
  <c r="AW17"/>
  <c r="AW24"/>
  <c r="AW25"/>
  <c r="AW32"/>
  <c r="AW33"/>
  <c r="AW40"/>
  <c r="AW41"/>
  <c r="AW48"/>
  <c r="AW49"/>
  <c r="BA56"/>
  <c r="BA57"/>
  <c r="AR12"/>
  <c r="AR60" s="1"/>
  <c r="AR62" s="1"/>
  <c r="AV12"/>
  <c r="AR13"/>
  <c r="AR61" s="1"/>
  <c r="AR63" s="1"/>
  <c r="AV13"/>
  <c r="AD30" i="2"/>
  <c r="AD60"/>
  <c r="AA70"/>
  <c r="AA97"/>
  <c r="Z98"/>
  <c r="AA29"/>
  <c r="AA50" i="13"/>
  <c r="AD9" i="2"/>
  <c r="Z35"/>
  <c r="Z39"/>
  <c r="Z77"/>
  <c r="Z95"/>
  <c r="AB37" i="13"/>
  <c r="W45"/>
  <c r="X51"/>
  <c r="AA56"/>
  <c r="AA6" i="2"/>
  <c r="AA7"/>
  <c r="AA13"/>
  <c r="AA19"/>
  <c r="AA25"/>
  <c r="Y35"/>
  <c r="AA36"/>
  <c r="AA37"/>
  <c r="AA43"/>
  <c r="AA49"/>
  <c r="AA55"/>
  <c r="Y61"/>
  <c r="AA67"/>
  <c r="Y69"/>
  <c r="AA69" s="1"/>
  <c r="AD71"/>
  <c r="AA73"/>
  <c r="Y77"/>
  <c r="AA85"/>
  <c r="Y87"/>
  <c r="Y89" s="1"/>
  <c r="AA91"/>
  <c r="Y95"/>
  <c r="AA103"/>
  <c r="X49" i="13"/>
  <c r="Z10" i="2"/>
  <c r="Z31" s="1"/>
  <c r="Z40"/>
  <c r="Z68"/>
  <c r="AD78"/>
  <c r="Z86"/>
  <c r="AD96"/>
  <c r="AA44" i="13"/>
  <c r="AB46"/>
  <c r="AB49"/>
  <c r="Y68" i="2"/>
  <c r="Y86"/>
  <c r="AA27" i="13"/>
  <c r="AA28"/>
  <c r="AB10"/>
  <c r="AB21"/>
  <c r="AA14"/>
  <c r="AA20"/>
  <c r="AA26"/>
  <c r="W7"/>
  <c r="X13"/>
  <c r="W15"/>
  <c r="X22"/>
  <c r="Z8"/>
  <c r="Z14"/>
  <c r="Z20"/>
  <c r="Z26"/>
  <c r="Z28"/>
  <c r="Z38"/>
  <c r="Z44"/>
  <c r="Z50"/>
  <c r="Z56"/>
  <c r="Z58"/>
  <c r="AB58" s="1"/>
  <c r="AA11"/>
  <c r="AA17"/>
  <c r="AA23"/>
  <c r="AA41"/>
  <c r="AA47"/>
  <c r="AA53"/>
  <c r="AA57"/>
  <c r="AB6"/>
  <c r="X10"/>
  <c r="Z11"/>
  <c r="AB12"/>
  <c r="X16"/>
  <c r="Z17"/>
  <c r="AB18"/>
  <c r="Z23"/>
  <c r="AB24"/>
  <c r="Z27"/>
  <c r="Z41"/>
  <c r="AB42"/>
  <c r="X46"/>
  <c r="Z47"/>
  <c r="AB48"/>
  <c r="X52"/>
  <c r="Z53"/>
  <c r="AB54"/>
  <c r="Z57"/>
  <c r="AA8"/>
  <c r="AA38"/>
  <c r="M179" i="11"/>
  <c r="O7" i="2"/>
  <c r="O28"/>
  <c r="M70"/>
  <c r="R78"/>
  <c r="Y10" i="12"/>
  <c r="V28"/>
  <c r="M92" i="7"/>
  <c r="M95"/>
  <c r="M102"/>
  <c r="M100"/>
  <c r="M99"/>
  <c r="M146"/>
  <c r="M102" i="11"/>
  <c r="M101"/>
  <c r="M114"/>
  <c r="M112"/>
  <c r="M110"/>
  <c r="M109"/>
  <c r="M177"/>
  <c r="M64"/>
  <c r="U27" i="2"/>
  <c r="T29"/>
  <c r="AG20" i="12"/>
  <c r="AI30"/>
  <c r="AI38"/>
  <c r="AI46"/>
  <c r="AI64"/>
  <c r="S22" i="7"/>
  <c r="S66"/>
  <c r="S140"/>
  <c r="S143"/>
  <c r="S155"/>
  <c r="R46" i="8"/>
  <c r="R10" i="2"/>
  <c r="N106"/>
  <c r="Y17" i="12"/>
  <c r="U36"/>
  <c r="Y36" s="1"/>
  <c r="U52"/>
  <c r="M113" i="11"/>
  <c r="M20"/>
  <c r="AI19" i="12"/>
  <c r="AK54"/>
  <c r="O24" i="2"/>
  <c r="O64"/>
  <c r="N69"/>
  <c r="N88"/>
  <c r="N89" s="1"/>
  <c r="R59"/>
  <c r="M94" i="7"/>
  <c r="M93"/>
  <c r="M97"/>
  <c r="M98"/>
  <c r="M108" i="11"/>
  <c r="M16" i="16"/>
  <c r="M210" i="7"/>
  <c r="M17" i="11"/>
  <c r="U46" i="2"/>
  <c r="S50"/>
  <c r="U82"/>
  <c r="U100"/>
  <c r="AJ56" i="12"/>
  <c r="AK14"/>
  <c r="AG21"/>
  <c r="AI27"/>
  <c r="AI35"/>
  <c r="S90" i="7"/>
  <c r="S93"/>
  <c r="S97"/>
  <c r="S120"/>
  <c r="S6" i="9"/>
  <c r="S184" i="7"/>
  <c r="T229" i="10"/>
  <c r="T230"/>
  <c r="T233"/>
  <c r="S30" i="11"/>
  <c r="R46"/>
  <c r="S29"/>
  <c r="S28"/>
  <c r="V46"/>
  <c r="Q24" i="16"/>
  <c r="V17"/>
  <c r="R8"/>
  <c r="R15" s="1"/>
  <c r="V5"/>
  <c r="S35" i="14"/>
  <c r="O35"/>
  <c r="R176" i="11"/>
  <c r="S176" s="1"/>
  <c r="V172"/>
  <c r="R142"/>
  <c r="V125"/>
  <c r="R125"/>
  <c r="R92"/>
  <c r="S27"/>
  <c r="S16"/>
  <c r="S7"/>
  <c r="V26"/>
  <c r="S5"/>
  <c r="S12"/>
  <c r="S25"/>
  <c r="S6"/>
  <c r="T285" i="10"/>
  <c r="W281"/>
  <c r="W226"/>
  <c r="W152"/>
  <c r="W131"/>
  <c r="T131"/>
  <c r="W27"/>
  <c r="V31" i="9"/>
  <c r="T70" i="8"/>
  <c r="S257" i="7"/>
  <c r="S258"/>
  <c r="S255"/>
  <c r="V269"/>
  <c r="S256"/>
  <c r="S254"/>
  <c r="V253"/>
  <c r="V185"/>
  <c r="V197"/>
  <c r="V184"/>
  <c r="V204"/>
  <c r="V176"/>
  <c r="V158"/>
  <c r="V131"/>
  <c r="V115"/>
  <c r="S270"/>
  <c r="Q269"/>
  <c r="S232"/>
  <c r="S230"/>
  <c r="S229"/>
  <c r="S231"/>
  <c r="S233"/>
  <c r="S234"/>
  <c r="S228"/>
  <c r="S221"/>
  <c r="S206"/>
  <c r="V207"/>
  <c r="V210"/>
  <c r="S207"/>
  <c r="S210"/>
  <c r="S208"/>
  <c r="Q220"/>
  <c r="V220"/>
  <c r="S205"/>
  <c r="S188"/>
  <c r="S185"/>
  <c r="S186"/>
  <c r="Q204"/>
  <c r="S187"/>
  <c r="S177"/>
  <c r="Q176"/>
  <c r="S161"/>
  <c r="S162"/>
  <c r="Q158"/>
  <c r="S159"/>
  <c r="S139"/>
  <c r="S142"/>
  <c r="S145"/>
  <c r="S156"/>
  <c r="S141"/>
  <c r="S144"/>
  <c r="S132"/>
  <c r="S119"/>
  <c r="S118"/>
  <c r="S117"/>
  <c r="Q131"/>
  <c r="S116"/>
  <c r="S95"/>
  <c r="Q115"/>
  <c r="S91"/>
  <c r="S92"/>
  <c r="S99"/>
  <c r="S94"/>
  <c r="S96"/>
  <c r="S98"/>
  <c r="S83"/>
  <c r="S65"/>
  <c r="V82"/>
  <c r="Q82"/>
  <c r="S64"/>
  <c r="S46"/>
  <c r="S43"/>
  <c r="S44"/>
  <c r="S50"/>
  <c r="S48"/>
  <c r="Q63"/>
  <c r="V63"/>
  <c r="R17"/>
  <c r="AK64" i="12"/>
  <c r="AK55"/>
  <c r="AK50"/>
  <c r="AO53"/>
  <c r="AO52"/>
  <c r="AK46"/>
  <c r="AO45"/>
  <c r="AO44"/>
  <c r="AH56"/>
  <c r="AJ58"/>
  <c r="AH59"/>
  <c r="AH58"/>
  <c r="AJ20"/>
  <c r="AJ21"/>
  <c r="AH21"/>
  <c r="AH20"/>
  <c r="AO59"/>
  <c r="AO58"/>
  <c r="AO57"/>
  <c r="AO56"/>
  <c r="U102" i="2"/>
  <c r="T104"/>
  <c r="U99"/>
  <c r="T101"/>
  <c r="U90"/>
  <c r="T92"/>
  <c r="U84"/>
  <c r="U81"/>
  <c r="T83"/>
  <c r="T74"/>
  <c r="U66"/>
  <c r="U64"/>
  <c r="U63"/>
  <c r="T65"/>
  <c r="U58"/>
  <c r="U54"/>
  <c r="T56"/>
  <c r="U52"/>
  <c r="U48"/>
  <c r="T50"/>
  <c r="U45"/>
  <c r="T47"/>
  <c r="U42"/>
  <c r="T44"/>
  <c r="T38"/>
  <c r="U28"/>
  <c r="U24"/>
  <c r="T26"/>
  <c r="U22"/>
  <c r="U21"/>
  <c r="T23"/>
  <c r="U18"/>
  <c r="T20"/>
  <c r="U15"/>
  <c r="T17"/>
  <c r="U12"/>
  <c r="T14"/>
  <c r="T8"/>
  <c r="S17" i="16"/>
  <c r="S16"/>
  <c r="Q15"/>
  <c r="S7"/>
  <c r="S5"/>
  <c r="P36" i="14"/>
  <c r="P22"/>
  <c r="P21"/>
  <c r="N20"/>
  <c r="N35" s="1"/>
  <c r="S20"/>
  <c r="P19"/>
  <c r="S8"/>
  <c r="P8"/>
  <c r="S189" i="11"/>
  <c r="S175"/>
  <c r="V176"/>
  <c r="S178"/>
  <c r="V188"/>
  <c r="S177"/>
  <c r="V174"/>
  <c r="Q174"/>
  <c r="S173"/>
  <c r="S152"/>
  <c r="S154"/>
  <c r="S151"/>
  <c r="S153"/>
  <c r="Q172"/>
  <c r="S150"/>
  <c r="S143"/>
  <c r="S127"/>
  <c r="S128"/>
  <c r="V129"/>
  <c r="V142"/>
  <c r="S126"/>
  <c r="S104"/>
  <c r="S101"/>
  <c r="S102"/>
  <c r="S103"/>
  <c r="Q100"/>
  <c r="S93"/>
  <c r="S77"/>
  <c r="V80"/>
  <c r="V92"/>
  <c r="S76"/>
  <c r="V75"/>
  <c r="Q75"/>
  <c r="S73"/>
  <c r="S55"/>
  <c r="V54"/>
  <c r="V64"/>
  <c r="V72"/>
  <c r="S54"/>
  <c r="S47"/>
  <c r="Q17"/>
  <c r="V25"/>
  <c r="Q14"/>
  <c r="S14" s="1"/>
  <c r="N199" i="10"/>
  <c r="N232"/>
  <c r="N326"/>
  <c r="N59"/>
  <c r="T344"/>
  <c r="W343"/>
  <c r="L58"/>
  <c r="N58" s="1"/>
  <c r="N69"/>
  <c r="N94"/>
  <c r="N122"/>
  <c r="N132"/>
  <c r="N186"/>
  <c r="N213"/>
  <c r="N228"/>
  <c r="N231"/>
  <c r="N234"/>
  <c r="N237"/>
  <c r="N239"/>
  <c r="N260"/>
  <c r="N266"/>
  <c r="N282"/>
  <c r="N286"/>
  <c r="T12"/>
  <c r="W179"/>
  <c r="Q345"/>
  <c r="T132"/>
  <c r="W154"/>
  <c r="T260"/>
  <c r="T266"/>
  <c r="T264"/>
  <c r="T311"/>
  <c r="T327"/>
  <c r="T329"/>
  <c r="W345"/>
  <c r="Q104"/>
  <c r="T309"/>
  <c r="T250"/>
  <c r="W249"/>
  <c r="T187"/>
  <c r="T183"/>
  <c r="W184"/>
  <c r="T186"/>
  <c r="T188"/>
  <c r="W189"/>
  <c r="T195"/>
  <c r="T190"/>
  <c r="W193"/>
  <c r="T194"/>
  <c r="T196"/>
  <c r="T197"/>
  <c r="T203"/>
  <c r="T182"/>
  <c r="W187"/>
  <c r="T191"/>
  <c r="T185"/>
  <c r="T192"/>
  <c r="N32"/>
  <c r="N35"/>
  <c r="N67"/>
  <c r="N70"/>
  <c r="N91"/>
  <c r="T213"/>
  <c r="T231"/>
  <c r="T263"/>
  <c r="T262"/>
  <c r="T282"/>
  <c r="T286"/>
  <c r="T302"/>
  <c r="T310"/>
  <c r="T326"/>
  <c r="N28"/>
  <c r="N49"/>
  <c r="N50"/>
  <c r="N111"/>
  <c r="N284"/>
  <c r="N287"/>
  <c r="N290"/>
  <c r="N329"/>
  <c r="T68"/>
  <c r="W129"/>
  <c r="T181"/>
  <c r="T184"/>
  <c r="T189"/>
  <c r="T193"/>
  <c r="W204"/>
  <c r="W206"/>
  <c r="T232"/>
  <c r="W251"/>
  <c r="T261"/>
  <c r="T265"/>
  <c r="T284"/>
  <c r="W303"/>
  <c r="T312"/>
  <c r="T328"/>
  <c r="W104"/>
  <c r="T214"/>
  <c r="T212"/>
  <c r="T162"/>
  <c r="T164"/>
  <c r="T165"/>
  <c r="T180"/>
  <c r="T163"/>
  <c r="T153"/>
  <c r="T59"/>
  <c r="T49"/>
  <c r="T50"/>
  <c r="T130"/>
  <c r="T112"/>
  <c r="T114"/>
  <c r="T113"/>
  <c r="T111"/>
  <c r="T47"/>
  <c r="T31"/>
  <c r="T29"/>
  <c r="T105"/>
  <c r="T28"/>
  <c r="T14"/>
  <c r="W17"/>
  <c r="T13"/>
  <c r="T67"/>
  <c r="T69"/>
  <c r="T70"/>
  <c r="T71"/>
  <c r="T6"/>
  <c r="W6"/>
  <c r="Q31" i="9"/>
  <c r="S32"/>
  <c r="S5"/>
  <c r="S7"/>
  <c r="S33"/>
  <c r="N8" i="8"/>
  <c r="M94"/>
  <c r="T69"/>
  <c r="T68"/>
  <c r="Q44"/>
  <c r="S46"/>
  <c r="T37"/>
  <c r="T36"/>
  <c r="T32"/>
  <c r="T8"/>
  <c r="S29"/>
  <c r="W29"/>
  <c r="T34"/>
  <c r="T38"/>
  <c r="S66"/>
  <c r="W94"/>
  <c r="T6"/>
  <c r="S44"/>
  <c r="T33"/>
  <c r="R44"/>
  <c r="S94"/>
  <c r="N30"/>
  <c r="N32"/>
  <c r="L96"/>
  <c r="R94"/>
  <c r="T7"/>
  <c r="R66"/>
  <c r="T48"/>
  <c r="S36" i="7"/>
  <c r="S19"/>
  <c r="S21"/>
  <c r="Q35"/>
  <c r="S20"/>
  <c r="S18"/>
  <c r="S5"/>
  <c r="Q17"/>
  <c r="R24" i="16"/>
  <c r="O18" i="14"/>
  <c r="R72" i="11"/>
  <c r="T227" i="10"/>
  <c r="T228"/>
  <c r="T259"/>
  <c r="T303"/>
  <c r="T325"/>
  <c r="T283"/>
  <c r="T30"/>
  <c r="T48"/>
  <c r="T66"/>
  <c r="T90"/>
  <c r="T91"/>
  <c r="T205"/>
  <c r="R31" i="9"/>
  <c r="R48"/>
  <c r="R29" i="8"/>
  <c r="T30"/>
  <c r="T31"/>
  <c r="T47"/>
  <c r="R35" i="7"/>
  <c r="R82"/>
  <c r="S82" s="1"/>
  <c r="R131"/>
  <c r="R253"/>
  <c r="R269"/>
  <c r="Q253"/>
  <c r="R63"/>
  <c r="R115"/>
  <c r="R158"/>
  <c r="R176"/>
  <c r="S176" s="1"/>
  <c r="R204"/>
  <c r="R220"/>
  <c r="U20" i="13"/>
  <c r="U26"/>
  <c r="U44"/>
  <c r="U50"/>
  <c r="U56"/>
  <c r="U58"/>
  <c r="V58" s="1"/>
  <c r="Q7"/>
  <c r="Q10"/>
  <c r="Q13"/>
  <c r="Q19"/>
  <c r="Q22"/>
  <c r="Q25"/>
  <c r="Q40"/>
  <c r="Q43"/>
  <c r="Q46"/>
  <c r="Q49"/>
  <c r="Q52"/>
  <c r="Q9"/>
  <c r="Q15"/>
  <c r="Q18"/>
  <c r="Q21"/>
  <c r="Q24"/>
  <c r="Q39"/>
  <c r="Q42"/>
  <c r="Q45"/>
  <c r="Q48"/>
  <c r="Q51"/>
  <c r="Q54"/>
  <c r="AI65" i="12"/>
  <c r="AI55"/>
  <c r="AK51"/>
  <c r="AI50"/>
  <c r="AI53"/>
  <c r="AI51"/>
  <c r="AQ53"/>
  <c r="AK53"/>
  <c r="AQ52"/>
  <c r="AI47"/>
  <c r="AK43"/>
  <c r="AI45"/>
  <c r="AI43"/>
  <c r="AI42"/>
  <c r="AQ45"/>
  <c r="AQ44"/>
  <c r="AF57"/>
  <c r="AK38"/>
  <c r="AK39"/>
  <c r="AI37"/>
  <c r="AI39"/>
  <c r="AK35"/>
  <c r="AK34"/>
  <c r="AI34"/>
  <c r="AQ37"/>
  <c r="AQ36"/>
  <c r="AO37"/>
  <c r="AO36"/>
  <c r="AK31"/>
  <c r="AI29"/>
  <c r="AI31"/>
  <c r="AG59"/>
  <c r="AK26"/>
  <c r="AG58"/>
  <c r="AK27"/>
  <c r="AF59"/>
  <c r="AF58"/>
  <c r="AI26"/>
  <c r="AO29"/>
  <c r="AG57"/>
  <c r="AQ29"/>
  <c r="AQ28"/>
  <c r="AG56"/>
  <c r="AO28"/>
  <c r="AF56"/>
  <c r="AK23"/>
  <c r="AI23"/>
  <c r="AI22"/>
  <c r="AQ59"/>
  <c r="AK19"/>
  <c r="AI18"/>
  <c r="AQ21"/>
  <c r="AQ20"/>
  <c r="AO21"/>
  <c r="AO20"/>
  <c r="AK15"/>
  <c r="AI15"/>
  <c r="AQ58"/>
  <c r="S104" i="2"/>
  <c r="U104" s="1"/>
  <c r="X104"/>
  <c r="X101"/>
  <c r="S101"/>
  <c r="X97"/>
  <c r="U93"/>
  <c r="U94"/>
  <c r="X95"/>
  <c r="S92"/>
  <c r="X92"/>
  <c r="X88"/>
  <c r="X86"/>
  <c r="X87"/>
  <c r="X83"/>
  <c r="S83"/>
  <c r="U76"/>
  <c r="X79"/>
  <c r="U75"/>
  <c r="U78"/>
  <c r="X77"/>
  <c r="S74"/>
  <c r="X74"/>
  <c r="X70"/>
  <c r="X69"/>
  <c r="X68"/>
  <c r="S105"/>
  <c r="X65"/>
  <c r="S65"/>
  <c r="X59"/>
  <c r="S59"/>
  <c r="S56"/>
  <c r="X56"/>
  <c r="X53"/>
  <c r="S53"/>
  <c r="U53" s="1"/>
  <c r="X50"/>
  <c r="X47"/>
  <c r="S47"/>
  <c r="S44"/>
  <c r="X44"/>
  <c r="S40"/>
  <c r="S61" s="1"/>
  <c r="X40"/>
  <c r="S39"/>
  <c r="S60" s="1"/>
  <c r="S38"/>
  <c r="U38" s="1"/>
  <c r="X38"/>
  <c r="X39"/>
  <c r="U34"/>
  <c r="X106"/>
  <c r="U33"/>
  <c r="X35"/>
  <c r="V107"/>
  <c r="X105"/>
  <c r="X29"/>
  <c r="S29"/>
  <c r="U29" s="1"/>
  <c r="S26"/>
  <c r="X26"/>
  <c r="X23"/>
  <c r="S23"/>
  <c r="S20"/>
  <c r="X20"/>
  <c r="X17"/>
  <c r="S17"/>
  <c r="S14"/>
  <c r="X14"/>
  <c r="S10"/>
  <c r="S31" s="1"/>
  <c r="X10"/>
  <c r="S8"/>
  <c r="X8"/>
  <c r="X9"/>
  <c r="S9"/>
  <c r="X30"/>
  <c r="AI20" i="12"/>
  <c r="AI28"/>
  <c r="AI36"/>
  <c r="AI44"/>
  <c r="AI52"/>
  <c r="AI8"/>
  <c r="AI9"/>
  <c r="AI10"/>
  <c r="AI11"/>
  <c r="AQ12"/>
  <c r="AQ13"/>
  <c r="AI16"/>
  <c r="AI17"/>
  <c r="AI24"/>
  <c r="AI25"/>
  <c r="AI32"/>
  <c r="AI33"/>
  <c r="AI40"/>
  <c r="AI41"/>
  <c r="AI48"/>
  <c r="AI49"/>
  <c r="AQ56"/>
  <c r="AQ57"/>
  <c r="AH12"/>
  <c r="AH13"/>
  <c r="AK8"/>
  <c r="AK9"/>
  <c r="AK10"/>
  <c r="AK11"/>
  <c r="AG12"/>
  <c r="AO12"/>
  <c r="AG13"/>
  <c r="AO13"/>
  <c r="AK16"/>
  <c r="AK17"/>
  <c r="AK24"/>
  <c r="AK25"/>
  <c r="AK32"/>
  <c r="AK33"/>
  <c r="AK40"/>
  <c r="AK41"/>
  <c r="AK48"/>
  <c r="AK49"/>
  <c r="AF12"/>
  <c r="AJ12"/>
  <c r="AF13"/>
  <c r="AJ13"/>
  <c r="X60" i="2"/>
  <c r="V40" i="13"/>
  <c r="V46"/>
  <c r="V52"/>
  <c r="T9" i="2"/>
  <c r="T30" s="1"/>
  <c r="T35"/>
  <c r="T39"/>
  <c r="T77"/>
  <c r="T95"/>
  <c r="U6"/>
  <c r="U7"/>
  <c r="U13"/>
  <c r="U19"/>
  <c r="U25"/>
  <c r="S35"/>
  <c r="U36"/>
  <c r="U37"/>
  <c r="U43"/>
  <c r="U49"/>
  <c r="U55"/>
  <c r="U67"/>
  <c r="S69"/>
  <c r="U73"/>
  <c r="S77"/>
  <c r="U85"/>
  <c r="S87"/>
  <c r="S89" s="1"/>
  <c r="X89"/>
  <c r="U91"/>
  <c r="S95"/>
  <c r="U103"/>
  <c r="T10"/>
  <c r="T31" s="1"/>
  <c r="T40"/>
  <c r="T61" s="1"/>
  <c r="T68"/>
  <c r="X78"/>
  <c r="T86"/>
  <c r="X96"/>
  <c r="S68"/>
  <c r="S86"/>
  <c r="V10" i="13"/>
  <c r="V16"/>
  <c r="V22"/>
  <c r="V6"/>
  <c r="T11"/>
  <c r="V12"/>
  <c r="T17"/>
  <c r="V18"/>
  <c r="T23"/>
  <c r="V24"/>
  <c r="Q36"/>
  <c r="V39"/>
  <c r="T44"/>
  <c r="V45"/>
  <c r="T50"/>
  <c r="V51"/>
  <c r="T56"/>
  <c r="U14"/>
  <c r="Q16"/>
  <c r="Q37"/>
  <c r="Q55"/>
  <c r="Q6"/>
  <c r="V9"/>
  <c r="T14"/>
  <c r="V15"/>
  <c r="T20"/>
  <c r="V21"/>
  <c r="T26"/>
  <c r="V36"/>
  <c r="T41"/>
  <c r="V42"/>
  <c r="T47"/>
  <c r="V48"/>
  <c r="T53"/>
  <c r="V54"/>
  <c r="R7"/>
  <c r="V7"/>
  <c r="T8"/>
  <c r="R9"/>
  <c r="R13"/>
  <c r="V13"/>
  <c r="R15"/>
  <c r="R19"/>
  <c r="V19"/>
  <c r="R21"/>
  <c r="R25"/>
  <c r="V25"/>
  <c r="R37"/>
  <c r="V37"/>
  <c r="T38"/>
  <c r="R39"/>
  <c r="R43"/>
  <c r="V43"/>
  <c r="R45"/>
  <c r="R49"/>
  <c r="V49"/>
  <c r="R51"/>
  <c r="R55"/>
  <c r="V55"/>
  <c r="U11"/>
  <c r="U17"/>
  <c r="U23"/>
  <c r="U27"/>
  <c r="U29" s="1"/>
  <c r="U41"/>
  <c r="U47"/>
  <c r="U53"/>
  <c r="U57"/>
  <c r="R6"/>
  <c r="R10"/>
  <c r="R12"/>
  <c r="R16"/>
  <c r="R18"/>
  <c r="R22"/>
  <c r="R24"/>
  <c r="R36"/>
  <c r="R40"/>
  <c r="R42"/>
  <c r="R46"/>
  <c r="R48"/>
  <c r="R52"/>
  <c r="R54"/>
  <c r="U8"/>
  <c r="V8" s="1"/>
  <c r="U38"/>
  <c r="M17" i="16"/>
  <c r="P8"/>
  <c r="J22" i="14"/>
  <c r="J24"/>
  <c r="J23"/>
  <c r="J25"/>
  <c r="I20"/>
  <c r="J20" s="1"/>
  <c r="J19"/>
  <c r="I8"/>
  <c r="J10"/>
  <c r="P179" i="11"/>
  <c r="L188"/>
  <c r="P176"/>
  <c r="P182"/>
  <c r="P188"/>
  <c r="M176"/>
  <c r="M182"/>
  <c r="M153"/>
  <c r="M155"/>
  <c r="M158"/>
  <c r="M152"/>
  <c r="M154"/>
  <c r="M156"/>
  <c r="M159"/>
  <c r="M161"/>
  <c r="P162"/>
  <c r="P164"/>
  <c r="L160"/>
  <c r="L172" s="1"/>
  <c r="M157"/>
  <c r="M162"/>
  <c r="P133"/>
  <c r="M128"/>
  <c r="L142"/>
  <c r="P134"/>
  <c r="M130"/>
  <c r="M104"/>
  <c r="M106"/>
  <c r="M111"/>
  <c r="L125"/>
  <c r="M125" s="1"/>
  <c r="M100"/>
  <c r="M80"/>
  <c r="M81"/>
  <c r="P92"/>
  <c r="L75"/>
  <c r="L92" s="1"/>
  <c r="P54"/>
  <c r="P64"/>
  <c r="L54"/>
  <c r="L60"/>
  <c r="M60" s="1"/>
  <c r="L61"/>
  <c r="M61" s="1"/>
  <c r="M59"/>
  <c r="M32"/>
  <c r="L46"/>
  <c r="M29"/>
  <c r="M31"/>
  <c r="P28"/>
  <c r="M27"/>
  <c r="L14"/>
  <c r="M14" s="1"/>
  <c r="P20"/>
  <c r="M5"/>
  <c r="M7"/>
  <c r="M12"/>
  <c r="M8"/>
  <c r="M13"/>
  <c r="M22"/>
  <c r="M15"/>
  <c r="M18"/>
  <c r="M24"/>
  <c r="M11"/>
  <c r="M16"/>
  <c r="Q283" i="10"/>
  <c r="N47"/>
  <c r="N180"/>
  <c r="L281"/>
  <c r="N281" s="1"/>
  <c r="N285"/>
  <c r="N288"/>
  <c r="N238"/>
  <c r="N309"/>
  <c r="N162"/>
  <c r="N164"/>
  <c r="N183"/>
  <c r="N188"/>
  <c r="N190"/>
  <c r="N196"/>
  <c r="N227"/>
  <c r="N181"/>
  <c r="N189"/>
  <c r="N194"/>
  <c r="N187"/>
  <c r="N184"/>
  <c r="N195"/>
  <c r="N193"/>
  <c r="N202"/>
  <c r="N345"/>
  <c r="N344"/>
  <c r="N229"/>
  <c r="N236"/>
  <c r="N259"/>
  <c r="N261"/>
  <c r="N263"/>
  <c r="N265"/>
  <c r="N262"/>
  <c r="N283"/>
  <c r="N289"/>
  <c r="N302"/>
  <c r="N310"/>
  <c r="N312"/>
  <c r="N30"/>
  <c r="N33"/>
  <c r="L206"/>
  <c r="N264"/>
  <c r="N214"/>
  <c r="N163"/>
  <c r="N165"/>
  <c r="N48"/>
  <c r="Q27"/>
  <c r="N6"/>
  <c r="M49" i="9"/>
  <c r="M33"/>
  <c r="M32"/>
  <c r="M30"/>
  <c r="N68" i="8"/>
  <c r="N47"/>
  <c r="M257" i="7"/>
  <c r="M260"/>
  <c r="M258"/>
  <c r="M255"/>
  <c r="M259"/>
  <c r="L269"/>
  <c r="P269"/>
  <c r="M256"/>
  <c r="M233"/>
  <c r="M232"/>
  <c r="L207"/>
  <c r="M207" s="1"/>
  <c r="P210"/>
  <c r="M161"/>
  <c r="M162"/>
  <c r="M167"/>
  <c r="M165"/>
  <c r="M164"/>
  <c r="M163"/>
  <c r="L176"/>
  <c r="L158"/>
  <c r="M149"/>
  <c r="M148"/>
  <c r="M144"/>
  <c r="M145"/>
  <c r="M143"/>
  <c r="M156"/>
  <c r="M147"/>
  <c r="M139"/>
  <c r="P131"/>
  <c r="L82"/>
  <c r="M66"/>
  <c r="M64"/>
  <c r="M44"/>
  <c r="M48"/>
  <c r="M50"/>
  <c r="M53"/>
  <c r="M54"/>
  <c r="M55"/>
  <c r="M46"/>
  <c r="M51"/>
  <c r="M52"/>
  <c r="M57"/>
  <c r="P63"/>
  <c r="M59"/>
  <c r="M43"/>
  <c r="M20"/>
  <c r="M21"/>
  <c r="M19"/>
  <c r="M18"/>
  <c r="L17"/>
  <c r="M6"/>
  <c r="M9"/>
  <c r="M5"/>
  <c r="AI49" i="24"/>
  <c r="AI55" i="22"/>
  <c r="AI51" i="24"/>
  <c r="AI65" i="22"/>
  <c r="AI73"/>
  <c r="AI57" i="24"/>
  <c r="AI59"/>
  <c r="AI63"/>
  <c r="AI65"/>
  <c r="AI71"/>
  <c r="AI73"/>
  <c r="AI61" i="22"/>
  <c r="AI77"/>
  <c r="AI49"/>
  <c r="AI69"/>
  <c r="AI57"/>
  <c r="AF55" i="24"/>
  <c r="D55" i="23" s="1"/>
  <c r="E55" s="1"/>
  <c r="L78" i="22"/>
  <c r="AG61"/>
  <c r="H78"/>
  <c r="AG54" i="24"/>
  <c r="AG62"/>
  <c r="AG68"/>
  <c r="AG70"/>
  <c r="AG74"/>
  <c r="AG65" i="22"/>
  <c r="AG69"/>
  <c r="AG77"/>
  <c r="AG73"/>
  <c r="AG53"/>
  <c r="AF48"/>
  <c r="D48" i="20" s="1"/>
  <c r="W64" i="12"/>
  <c r="W65"/>
  <c r="Y54"/>
  <c r="Y55"/>
  <c r="W55"/>
  <c r="Y50"/>
  <c r="Y51"/>
  <c r="AE53"/>
  <c r="W51"/>
  <c r="AC52"/>
  <c r="W49"/>
  <c r="Y46"/>
  <c r="Y47"/>
  <c r="W47"/>
  <c r="W43"/>
  <c r="AE45"/>
  <c r="X44"/>
  <c r="W41"/>
  <c r="AC44"/>
  <c r="Y39"/>
  <c r="W39"/>
  <c r="AE37"/>
  <c r="Y32"/>
  <c r="AC36"/>
  <c r="W26"/>
  <c r="AC28"/>
  <c r="AE29"/>
  <c r="X29"/>
  <c r="Y29" s="1"/>
  <c r="X28"/>
  <c r="W23"/>
  <c r="W19"/>
  <c r="AC20"/>
  <c r="AC21"/>
  <c r="V20"/>
  <c r="AE21"/>
  <c r="W15"/>
  <c r="AE59"/>
  <c r="W11"/>
  <c r="AC58"/>
  <c r="W10"/>
  <c r="AC56"/>
  <c r="R104" i="2"/>
  <c r="R101"/>
  <c r="O99"/>
  <c r="N101"/>
  <c r="N96"/>
  <c r="O94"/>
  <c r="R96"/>
  <c r="O91"/>
  <c r="O84"/>
  <c r="O82"/>
  <c r="N79"/>
  <c r="N78"/>
  <c r="R83"/>
  <c r="R77"/>
  <c r="O73"/>
  <c r="R74"/>
  <c r="O66"/>
  <c r="R65"/>
  <c r="P49" i="13"/>
  <c r="O50"/>
  <c r="O57" i="2"/>
  <c r="N59"/>
  <c r="O51"/>
  <c r="N53"/>
  <c r="O45"/>
  <c r="N47"/>
  <c r="O33"/>
  <c r="R29"/>
  <c r="O25"/>
  <c r="R23"/>
  <c r="O19"/>
  <c r="O18"/>
  <c r="O16"/>
  <c r="O12"/>
  <c r="R8"/>
  <c r="L31" i="9"/>
  <c r="M25" i="16"/>
  <c r="K24"/>
  <c r="K15"/>
  <c r="J36" i="14"/>
  <c r="H28"/>
  <c r="J28" s="1"/>
  <c r="M20"/>
  <c r="H8"/>
  <c r="M5"/>
  <c r="P181" i="11"/>
  <c r="M174"/>
  <c r="K188"/>
  <c r="P170"/>
  <c r="K172"/>
  <c r="M150"/>
  <c r="P172"/>
  <c r="M133"/>
  <c r="M134"/>
  <c r="K127"/>
  <c r="K142" s="1"/>
  <c r="P125"/>
  <c r="K75"/>
  <c r="P72"/>
  <c r="K72"/>
  <c r="P59"/>
  <c r="K28"/>
  <c r="K26"/>
  <c r="M6"/>
  <c r="P6"/>
  <c r="N328" i="10"/>
  <c r="L343"/>
  <c r="N327"/>
  <c r="Q343"/>
  <c r="L303"/>
  <c r="Q226"/>
  <c r="N66"/>
  <c r="N68"/>
  <c r="N71"/>
  <c r="Q303"/>
  <c r="N29"/>
  <c r="N31"/>
  <c r="N34"/>
  <c r="N98"/>
  <c r="N96"/>
  <c r="L226"/>
  <c r="N14"/>
  <c r="N16"/>
  <c r="N311"/>
  <c r="N17"/>
  <c r="N112"/>
  <c r="N116"/>
  <c r="N115"/>
  <c r="L251"/>
  <c r="N105"/>
  <c r="N114"/>
  <c r="N113"/>
  <c r="Q249"/>
  <c r="N205"/>
  <c r="Q204"/>
  <c r="N191"/>
  <c r="N185"/>
  <c r="N192"/>
  <c r="Q281"/>
  <c r="N130"/>
  <c r="Q154"/>
  <c r="L249"/>
  <c r="N249" s="1"/>
  <c r="L325"/>
  <c r="N128"/>
  <c r="N120"/>
  <c r="N119"/>
  <c r="N121"/>
  <c r="N198"/>
  <c r="N203"/>
  <c r="N230"/>
  <c r="N235"/>
  <c r="N233"/>
  <c r="Q251"/>
  <c r="Q206"/>
  <c r="L179"/>
  <c r="Q179"/>
  <c r="L129"/>
  <c r="Q129"/>
  <c r="Q152"/>
  <c r="L131"/>
  <c r="L152" s="1"/>
  <c r="L46"/>
  <c r="N46" s="1"/>
  <c r="L104"/>
  <c r="L15"/>
  <c r="N15" s="1"/>
  <c r="L26"/>
  <c r="L11"/>
  <c r="M5" i="9"/>
  <c r="M6"/>
  <c r="L94" i="8"/>
  <c r="N70"/>
  <c r="N69"/>
  <c r="N6"/>
  <c r="N48"/>
  <c r="L29"/>
  <c r="Q94"/>
  <c r="L44"/>
  <c r="L46"/>
  <c r="N7"/>
  <c r="M29"/>
  <c r="N31"/>
  <c r="N34"/>
  <c r="N33"/>
  <c r="K253" i="7"/>
  <c r="M253" s="1"/>
  <c r="P253"/>
  <c r="P219"/>
  <c r="K211"/>
  <c r="K213"/>
  <c r="M213" s="1"/>
  <c r="M208"/>
  <c r="M214"/>
  <c r="M219"/>
  <c r="M206"/>
  <c r="K204"/>
  <c r="P176"/>
  <c r="M142"/>
  <c r="K158"/>
  <c r="P158"/>
  <c r="M132"/>
  <c r="M116"/>
  <c r="P115"/>
  <c r="K90"/>
  <c r="K115" s="1"/>
  <c r="K82"/>
  <c r="P82"/>
  <c r="K63"/>
  <c r="M63" s="1"/>
  <c r="K35"/>
  <c r="M8"/>
  <c r="AE48" i="24"/>
  <c r="C48" i="23" s="1"/>
  <c r="G48" s="1"/>
  <c r="AI76" i="24"/>
  <c r="AI52"/>
  <c r="AI60"/>
  <c r="AI68"/>
  <c r="AI79" i="22"/>
  <c r="O17" i="13"/>
  <c r="O26"/>
  <c r="O38"/>
  <c r="AD51" i="22"/>
  <c r="B51" i="20" s="1"/>
  <c r="E51" s="1"/>
  <c r="N78" i="22"/>
  <c r="J78"/>
  <c r="AD48"/>
  <c r="B48" i="20" s="1"/>
  <c r="AD48" i="24"/>
  <c r="F78" i="22"/>
  <c r="AG79" i="24"/>
  <c r="AG49"/>
  <c r="AG50"/>
  <c r="AG52"/>
  <c r="AG71"/>
  <c r="AG72"/>
  <c r="AG77"/>
  <c r="AG63"/>
  <c r="AG64"/>
  <c r="AG66"/>
  <c r="AG69"/>
  <c r="AG56"/>
  <c r="AG57"/>
  <c r="AG58"/>
  <c r="AG60"/>
  <c r="AG76"/>
  <c r="AG62" i="22"/>
  <c r="AG63"/>
  <c r="AG75"/>
  <c r="AG54"/>
  <c r="AG55"/>
  <c r="AG56"/>
  <c r="AG57"/>
  <c r="AG59"/>
  <c r="AG76"/>
  <c r="AG49"/>
  <c r="AG70"/>
  <c r="AG71"/>
  <c r="AG67"/>
  <c r="AG68"/>
  <c r="Y64" i="12"/>
  <c r="Y65"/>
  <c r="W54"/>
  <c r="W50"/>
  <c r="AE52"/>
  <c r="AC53"/>
  <c r="W48"/>
  <c r="W52"/>
  <c r="W46"/>
  <c r="Y42"/>
  <c r="T45"/>
  <c r="W45" s="1"/>
  <c r="W42"/>
  <c r="AE44"/>
  <c r="Y40"/>
  <c r="AC45"/>
  <c r="W40"/>
  <c r="AE36"/>
  <c r="Y38"/>
  <c r="AC37"/>
  <c r="W38"/>
  <c r="R40" i="2"/>
  <c r="W35" i="12"/>
  <c r="W34"/>
  <c r="W33"/>
  <c r="W32"/>
  <c r="T36"/>
  <c r="W30"/>
  <c r="W31"/>
  <c r="AC29"/>
  <c r="AE28"/>
  <c r="W25"/>
  <c r="Y23"/>
  <c r="W22"/>
  <c r="T21"/>
  <c r="W21" s="1"/>
  <c r="AC61"/>
  <c r="W18"/>
  <c r="AE20"/>
  <c r="U20"/>
  <c r="Y20" s="1"/>
  <c r="U56"/>
  <c r="Y14"/>
  <c r="W14"/>
  <c r="U58"/>
  <c r="AE58"/>
  <c r="AC59"/>
  <c r="T59"/>
  <c r="W59" s="1"/>
  <c r="W9"/>
  <c r="W8"/>
  <c r="AC12"/>
  <c r="N56" i="13"/>
  <c r="M104" i="2"/>
  <c r="R95"/>
  <c r="M87"/>
  <c r="N11" i="13"/>
  <c r="P107" i="2"/>
  <c r="N14" i="13"/>
  <c r="M69" i="2"/>
  <c r="N17" i="13"/>
  <c r="R56" i="2"/>
  <c r="O54"/>
  <c r="O49"/>
  <c r="R50"/>
  <c r="O48"/>
  <c r="O43"/>
  <c r="O42"/>
  <c r="R44"/>
  <c r="O37"/>
  <c r="O36"/>
  <c r="R38"/>
  <c r="P7" i="13"/>
  <c r="P6"/>
  <c r="O6" i="2"/>
  <c r="N27" i="13"/>
  <c r="O11"/>
  <c r="O14"/>
  <c r="P18"/>
  <c r="P9"/>
  <c r="N20"/>
  <c r="O20"/>
  <c r="N23"/>
  <c r="N8"/>
  <c r="N38"/>
  <c r="O47"/>
  <c r="N250" i="10"/>
  <c r="N212"/>
  <c r="L204"/>
  <c r="N182"/>
  <c r="N153"/>
  <c r="L154"/>
  <c r="N154" s="1"/>
  <c r="N90"/>
  <c r="L89"/>
  <c r="N12"/>
  <c r="K48" i="9"/>
  <c r="M96" i="8"/>
  <c r="N96" s="1"/>
  <c r="M66"/>
  <c r="L66"/>
  <c r="M46"/>
  <c r="N46" s="1"/>
  <c r="M44"/>
  <c r="M270" i="7"/>
  <c r="K269"/>
  <c r="M221"/>
  <c r="M184"/>
  <c r="M177"/>
  <c r="M160"/>
  <c r="L131"/>
  <c r="M131" s="1"/>
  <c r="M118"/>
  <c r="L115"/>
  <c r="M83"/>
  <c r="M36"/>
  <c r="M7"/>
  <c r="K17"/>
  <c r="AH78" i="24"/>
  <c r="AI50"/>
  <c r="AG53"/>
  <c r="AI55"/>
  <c r="AI58"/>
  <c r="AG61"/>
  <c r="AI66"/>
  <c r="AI74"/>
  <c r="AG51"/>
  <c r="AI53"/>
  <c r="AI56"/>
  <c r="AG59"/>
  <c r="AI61"/>
  <c r="AI64"/>
  <c r="AG67"/>
  <c r="AI69"/>
  <c r="AI72"/>
  <c r="AG75"/>
  <c r="AI77"/>
  <c r="AI54"/>
  <c r="AI62"/>
  <c r="AG65"/>
  <c r="AI67"/>
  <c r="AI70"/>
  <c r="AG73"/>
  <c r="AI75"/>
  <c r="AI79"/>
  <c r="AG52" i="22"/>
  <c r="AG60"/>
  <c r="AI63"/>
  <c r="AI71"/>
  <c r="AG79"/>
  <c r="AH78"/>
  <c r="AG50"/>
  <c r="AI53"/>
  <c r="AG58"/>
  <c r="AG66"/>
  <c r="AG74"/>
  <c r="AI51"/>
  <c r="AI59"/>
  <c r="AG64"/>
  <c r="AI67"/>
  <c r="AG72"/>
  <c r="AI75"/>
  <c r="AI50"/>
  <c r="AI54"/>
  <c r="AI58"/>
  <c r="AI62"/>
  <c r="AI66"/>
  <c r="AI70"/>
  <c r="AI74"/>
  <c r="AI48"/>
  <c r="AI52"/>
  <c r="AI56"/>
  <c r="AI60"/>
  <c r="AI64"/>
  <c r="AI68"/>
  <c r="AI72"/>
  <c r="AI76"/>
  <c r="AE78"/>
  <c r="X52" i="12"/>
  <c r="Y52" s="1"/>
  <c r="U53"/>
  <c r="Y49"/>
  <c r="X56"/>
  <c r="U45"/>
  <c r="V58"/>
  <c r="V44"/>
  <c r="W44" s="1"/>
  <c r="T56"/>
  <c r="V56"/>
  <c r="V36"/>
  <c r="W37"/>
  <c r="U59"/>
  <c r="X59"/>
  <c r="W27"/>
  <c r="T28"/>
  <c r="T29"/>
  <c r="T58"/>
  <c r="U57"/>
  <c r="X21"/>
  <c r="U28"/>
  <c r="Y27"/>
  <c r="X58"/>
  <c r="V12"/>
  <c r="Y16"/>
  <c r="T20"/>
  <c r="W16"/>
  <c r="Y18"/>
  <c r="Y8"/>
  <c r="U12"/>
  <c r="AC60"/>
  <c r="AE13"/>
  <c r="AE57"/>
  <c r="AE12"/>
  <c r="AC13"/>
  <c r="AE56"/>
  <c r="AC57"/>
  <c r="W13"/>
  <c r="W57"/>
  <c r="R30" i="2"/>
  <c r="P40" i="13"/>
  <c r="P51"/>
  <c r="P54"/>
  <c r="N14" i="2"/>
  <c r="O15"/>
  <c r="N17"/>
  <c r="N20"/>
  <c r="O21"/>
  <c r="N23"/>
  <c r="N26"/>
  <c r="O27"/>
  <c r="N29"/>
  <c r="N105"/>
  <c r="R70"/>
  <c r="R88"/>
  <c r="O100"/>
  <c r="O102"/>
  <c r="N104"/>
  <c r="R105"/>
  <c r="N8"/>
  <c r="M14"/>
  <c r="M20"/>
  <c r="M26"/>
  <c r="N38"/>
  <c r="N44"/>
  <c r="N50"/>
  <c r="N56"/>
  <c r="O67"/>
  <c r="O72"/>
  <c r="O85"/>
  <c r="O90"/>
  <c r="O57" i="13"/>
  <c r="M8" i="2"/>
  <c r="M106"/>
  <c r="M38"/>
  <c r="M44"/>
  <c r="O46"/>
  <c r="M50"/>
  <c r="O52"/>
  <c r="M56"/>
  <c r="O58"/>
  <c r="O63"/>
  <c r="N65"/>
  <c r="N74"/>
  <c r="O75"/>
  <c r="O81"/>
  <c r="N83"/>
  <c r="O87"/>
  <c r="N92"/>
  <c r="M96"/>
  <c r="O96" s="1"/>
  <c r="N97"/>
  <c r="N98" s="1"/>
  <c r="R106"/>
  <c r="M74"/>
  <c r="M92"/>
  <c r="R60"/>
  <c r="P36" i="13"/>
  <c r="O41"/>
  <c r="P42"/>
  <c r="P45"/>
  <c r="R9" i="2"/>
  <c r="R31"/>
  <c r="N35"/>
  <c r="R39"/>
  <c r="R61"/>
  <c r="R69"/>
  <c r="N77"/>
  <c r="R79"/>
  <c r="R87"/>
  <c r="O95"/>
  <c r="R97"/>
  <c r="M17"/>
  <c r="O17" s="1"/>
  <c r="M23"/>
  <c r="M29"/>
  <c r="M35"/>
  <c r="M47"/>
  <c r="O47" s="1"/>
  <c r="M53"/>
  <c r="M59"/>
  <c r="O59" s="1"/>
  <c r="M65"/>
  <c r="M77"/>
  <c r="M79"/>
  <c r="M83"/>
  <c r="M97"/>
  <c r="M101"/>
  <c r="O103"/>
  <c r="M105"/>
  <c r="N57" i="13"/>
  <c r="P37"/>
  <c r="P39"/>
  <c r="N41"/>
  <c r="O44"/>
  <c r="P46"/>
  <c r="P48"/>
  <c r="N53"/>
  <c r="N68" i="2"/>
  <c r="N86"/>
  <c r="N58" i="13"/>
  <c r="N44"/>
  <c r="N47"/>
  <c r="O53"/>
  <c r="O56"/>
  <c r="O34" i="2"/>
  <c r="M68"/>
  <c r="M78"/>
  <c r="M86"/>
  <c r="O93"/>
  <c r="P22" i="13"/>
  <c r="N26"/>
  <c r="N28"/>
  <c r="P10"/>
  <c r="P16"/>
  <c r="O23"/>
  <c r="P24"/>
  <c r="O27"/>
  <c r="P12"/>
  <c r="P15"/>
  <c r="P19"/>
  <c r="P21"/>
  <c r="O28"/>
  <c r="O8"/>
  <c r="P13"/>
  <c r="P25"/>
  <c r="P43"/>
  <c r="P55"/>
  <c r="O58"/>
  <c r="N50"/>
  <c r="P52"/>
  <c r="K264" i="10"/>
  <c r="Y6" i="16" l="1"/>
  <c r="Y15"/>
  <c r="I18" i="14"/>
  <c r="J18" s="1"/>
  <c r="J8"/>
  <c r="P35"/>
  <c r="Y92" i="11"/>
  <c r="M142"/>
  <c r="L26"/>
  <c r="M26" s="1"/>
  <c r="M188"/>
  <c r="Y125"/>
  <c r="T66" i="8"/>
  <c r="AF44"/>
  <c r="S35" i="7"/>
  <c r="Y176"/>
  <c r="M82"/>
  <c r="AE204"/>
  <c r="W53" i="12"/>
  <c r="U96" i="2"/>
  <c r="O70"/>
  <c r="S80"/>
  <c r="S98"/>
  <c r="AE15" i="13"/>
  <c r="Z94" i="8"/>
  <c r="AE253" i="7"/>
  <c r="AE82"/>
  <c r="AE63"/>
  <c r="AF98" i="2"/>
  <c r="AG70"/>
  <c r="BI29" i="12"/>
  <c r="BI36"/>
  <c r="BI57"/>
  <c r="BG45"/>
  <c r="AG29" i="2"/>
  <c r="BG59" i="12"/>
  <c r="BI52"/>
  <c r="BI56"/>
  <c r="AE71" i="2"/>
  <c r="AG71" s="1"/>
  <c r="BI58" i="12"/>
  <c r="BI20"/>
  <c r="BG20"/>
  <c r="BG21"/>
  <c r="BI44"/>
  <c r="AG92" i="2"/>
  <c r="AG20"/>
  <c r="AH8" i="13"/>
  <c r="BI59" i="12"/>
  <c r="AG101" i="2"/>
  <c r="BG52" i="12"/>
  <c r="BI45"/>
  <c r="BG44"/>
  <c r="AF89" i="2"/>
  <c r="AG89" s="1"/>
  <c r="AG87"/>
  <c r="Z80"/>
  <c r="AA78"/>
  <c r="BI28" i="12"/>
  <c r="BG29"/>
  <c r="AF107" i="2"/>
  <c r="BI21" i="12"/>
  <c r="AG106" i="2"/>
  <c r="AG8"/>
  <c r="BG57" i="12"/>
  <c r="BG56"/>
  <c r="AG88" i="2"/>
  <c r="BE61" i="12"/>
  <c r="BE63" s="1"/>
  <c r="AE107" i="2"/>
  <c r="Y80"/>
  <c r="AA79"/>
  <c r="BE60" i="12"/>
  <c r="BE62" s="1"/>
  <c r="BD61"/>
  <c r="BD63" s="1"/>
  <c r="BD60"/>
  <c r="BD62" s="1"/>
  <c r="AA106" i="2"/>
  <c r="Y107"/>
  <c r="BG58" i="12"/>
  <c r="AA53" i="2"/>
  <c r="R28" i="13"/>
  <c r="W50"/>
  <c r="Y31" i="9"/>
  <c r="N66" i="8"/>
  <c r="Y204" i="7"/>
  <c r="AK29" i="12"/>
  <c r="AA59" i="2"/>
  <c r="AA47"/>
  <c r="AK37" i="12"/>
  <c r="AK45"/>
  <c r="AA88" i="2"/>
  <c r="AG48" i="24"/>
  <c r="B48" i="23"/>
  <c r="C78"/>
  <c r="G78" s="1"/>
  <c r="D78"/>
  <c r="D78" i="20"/>
  <c r="E48"/>
  <c r="B78"/>
  <c r="G78"/>
  <c r="U97" i="2"/>
  <c r="AA98"/>
  <c r="U101"/>
  <c r="AW44" i="12"/>
  <c r="U88" i="2"/>
  <c r="U79"/>
  <c r="AF60" i="12"/>
  <c r="AF62" s="1"/>
  <c r="AI21"/>
  <c r="AF61"/>
  <c r="AF63" s="1"/>
  <c r="U70" i="2"/>
  <c r="AS60" i="12"/>
  <c r="AS62" s="1"/>
  <c r="O101" i="2"/>
  <c r="T98"/>
  <c r="Y57" i="12"/>
  <c r="Y53"/>
  <c r="T71" i="2"/>
  <c r="U69"/>
  <c r="N71"/>
  <c r="AI59" i="12"/>
  <c r="T80" i="2"/>
  <c r="U59"/>
  <c r="O53"/>
  <c r="Y37" i="12"/>
  <c r="AK57"/>
  <c r="AK56"/>
  <c r="V61"/>
  <c r="V63" s="1"/>
  <c r="T89" i="2"/>
  <c r="N107"/>
  <c r="O106"/>
  <c r="U105"/>
  <c r="U26"/>
  <c r="Y13" i="12"/>
  <c r="AI57"/>
  <c r="M71" i="2"/>
  <c r="AG60" i="12"/>
  <c r="AG62" s="1"/>
  <c r="AE60"/>
  <c r="AE61"/>
  <c r="Y44"/>
  <c r="M89" i="2"/>
  <c r="O89" s="1"/>
  <c r="W28" i="12"/>
  <c r="Y12"/>
  <c r="R188" i="11"/>
  <c r="Y72"/>
  <c r="AB172"/>
  <c r="Y172"/>
  <c r="T301" i="10"/>
  <c r="N301"/>
  <c r="N129"/>
  <c r="AF29" i="8"/>
  <c r="M204" i="7"/>
  <c r="W131"/>
  <c r="Y131" s="1"/>
  <c r="K220"/>
  <c r="M211"/>
  <c r="AK58" i="12"/>
  <c r="AK59"/>
  <c r="AG14" i="2"/>
  <c r="AG83"/>
  <c r="AG53"/>
  <c r="AG69"/>
  <c r="AJ62"/>
  <c r="U44"/>
  <c r="AA59" i="13"/>
  <c r="AD78" i="24"/>
  <c r="AG44" i="2"/>
  <c r="AK21" i="12"/>
  <c r="AE115" i="7"/>
  <c r="U61" i="12"/>
  <c r="U63" s="1"/>
  <c r="N44" i="8"/>
  <c r="AG61" i="12"/>
  <c r="AG63" s="1"/>
  <c r="U47" i="2"/>
  <c r="S269" i="7"/>
  <c r="AK20" i="12"/>
  <c r="Y41" i="2"/>
  <c r="Y269" i="7"/>
  <c r="Z325" i="10"/>
  <c r="Z107" i="2"/>
  <c r="AA107" s="1"/>
  <c r="AC41" i="13"/>
  <c r="O20" i="2"/>
  <c r="Y56" i="12"/>
  <c r="U92" i="2"/>
  <c r="S115" i="7"/>
  <c r="R172" i="11"/>
  <c r="S172" s="1"/>
  <c r="T46" i="8"/>
  <c r="U50" i="2"/>
  <c r="AA39"/>
  <c r="AA23"/>
  <c r="AA92"/>
  <c r="AD98"/>
  <c r="Y63" i="7"/>
  <c r="Y115"/>
  <c r="Z152" i="10"/>
  <c r="AC14" i="13"/>
  <c r="Y40"/>
  <c r="AE36"/>
  <c r="Q27"/>
  <c r="AE9"/>
  <c r="Y49"/>
  <c r="AE18"/>
  <c r="AC11"/>
  <c r="W27"/>
  <c r="T29"/>
  <c r="V29" s="1"/>
  <c r="AG105" i="2"/>
  <c r="AC53" i="13"/>
  <c r="AG56" i="2"/>
  <c r="AG50"/>
  <c r="AC26" i="13"/>
  <c r="AJ30" i="2"/>
  <c r="AC44" i="13"/>
  <c r="AG38" i="2"/>
  <c r="AJ32"/>
  <c r="AG86"/>
  <c r="AG74"/>
  <c r="Q57" i="13"/>
  <c r="Y39"/>
  <c r="Y19"/>
  <c r="AH47"/>
  <c r="Q46" i="11"/>
  <c r="S46" s="1"/>
  <c r="Z226" i="10"/>
  <c r="N131"/>
  <c r="AH14" i="13"/>
  <c r="AC47"/>
  <c r="AH50"/>
  <c r="W57"/>
  <c r="AC50"/>
  <c r="AF96" i="8"/>
  <c r="Z46"/>
  <c r="AC56" i="13"/>
  <c r="Q28"/>
  <c r="S12"/>
  <c r="V28"/>
  <c r="Q14"/>
  <c r="AE24"/>
  <c r="AE12"/>
  <c r="AH53"/>
  <c r="AE45"/>
  <c r="AF59"/>
  <c r="AC28"/>
  <c r="W20"/>
  <c r="AF29"/>
  <c r="AC20"/>
  <c r="AH58"/>
  <c r="AC17"/>
  <c r="AC8"/>
  <c r="AH28"/>
  <c r="Y25"/>
  <c r="AE6"/>
  <c r="AH41"/>
  <c r="AH17"/>
  <c r="AE51"/>
  <c r="AE21"/>
  <c r="AC23"/>
  <c r="Z129" i="10"/>
  <c r="Z60"/>
  <c r="T60"/>
  <c r="AH26" i="13"/>
  <c r="AE54"/>
  <c r="AE42"/>
  <c r="W26"/>
  <c r="AH38"/>
  <c r="AE48"/>
  <c r="AG29"/>
  <c r="AE39"/>
  <c r="AH56"/>
  <c r="AG55" i="24"/>
  <c r="Y6" i="13"/>
  <c r="AC58"/>
  <c r="AC27"/>
  <c r="AH20"/>
  <c r="AD28"/>
  <c r="X8"/>
  <c r="AG59"/>
  <c r="AH59" s="1"/>
  <c r="AD58"/>
  <c r="AC57"/>
  <c r="AH44"/>
  <c r="BM62" i="12"/>
  <c r="BO63"/>
  <c r="BH60"/>
  <c r="BI12"/>
  <c r="BM63"/>
  <c r="BF60"/>
  <c r="BG12"/>
  <c r="BH61"/>
  <c r="BI13"/>
  <c r="BF61"/>
  <c r="BG13"/>
  <c r="BO62"/>
  <c r="AG40" i="2"/>
  <c r="AF41"/>
  <c r="AG41" s="1"/>
  <c r="AE98"/>
  <c r="AG98" s="1"/>
  <c r="AE32"/>
  <c r="AJ11"/>
  <c r="AG35"/>
  <c r="AF60"/>
  <c r="AG60" s="1"/>
  <c r="AG97"/>
  <c r="AF30"/>
  <c r="AG30" s="1"/>
  <c r="AE80"/>
  <c r="AG80" s="1"/>
  <c r="AG95"/>
  <c r="AG10"/>
  <c r="AF11"/>
  <c r="AG11" s="1"/>
  <c r="AG68"/>
  <c r="AE62"/>
  <c r="AJ41"/>
  <c r="AG77"/>
  <c r="AF31"/>
  <c r="AG61"/>
  <c r="AG79"/>
  <c r="AH11" i="13"/>
  <c r="AH23"/>
  <c r="AE52"/>
  <c r="AD53"/>
  <c r="AE40"/>
  <c r="AD41"/>
  <c r="AE43"/>
  <c r="AD44"/>
  <c r="AE37"/>
  <c r="AD38"/>
  <c r="AE38" s="1"/>
  <c r="AE13"/>
  <c r="AD14"/>
  <c r="AE7"/>
  <c r="AD8"/>
  <c r="AE22"/>
  <c r="AD23"/>
  <c r="AE10"/>
  <c r="AD11"/>
  <c r="AE46"/>
  <c r="AD47"/>
  <c r="AE55"/>
  <c r="AD56"/>
  <c r="AE25"/>
  <c r="AD26"/>
  <c r="AE16"/>
  <c r="AD17"/>
  <c r="AH57"/>
  <c r="AD57"/>
  <c r="AH27"/>
  <c r="AD27"/>
  <c r="AE49"/>
  <c r="AD50"/>
  <c r="AE19"/>
  <c r="AD20"/>
  <c r="Z66" i="8"/>
  <c r="M160" i="11"/>
  <c r="Q92"/>
  <c r="S92" s="1"/>
  <c r="V23" i="14"/>
  <c r="Y220" i="7"/>
  <c r="O26" i="2"/>
  <c r="S11"/>
  <c r="T154" i="10"/>
  <c r="X38" i="13"/>
  <c r="Y26" i="11"/>
  <c r="Z204" i="10"/>
  <c r="X23" i="13"/>
  <c r="Y54"/>
  <c r="X56"/>
  <c r="AA105" i="2"/>
  <c r="AD80"/>
  <c r="AA74"/>
  <c r="O8"/>
  <c r="N80"/>
  <c r="U17"/>
  <c r="U23"/>
  <c r="AA20"/>
  <c r="AA26"/>
  <c r="X98"/>
  <c r="AA14"/>
  <c r="AA38"/>
  <c r="S39" i="13"/>
  <c r="Y42"/>
  <c r="X26"/>
  <c r="W8"/>
  <c r="Y43"/>
  <c r="Y18"/>
  <c r="AA8" i="2"/>
  <c r="AA30"/>
  <c r="T18" i="14"/>
  <c r="Y174" i="11"/>
  <c r="Y100"/>
  <c r="W92"/>
  <c r="Y46"/>
  <c r="Z281" i="10"/>
  <c r="T58"/>
  <c r="AB38" i="13"/>
  <c r="W17"/>
  <c r="X11" i="10"/>
  <c r="W82" i="7"/>
  <c r="Y82" s="1"/>
  <c r="W23" i="13"/>
  <c r="W14"/>
  <c r="Y12"/>
  <c r="S21"/>
  <c r="X50"/>
  <c r="Y50" s="1"/>
  <c r="W44"/>
  <c r="X44"/>
  <c r="X58"/>
  <c r="Y13"/>
  <c r="W11"/>
  <c r="AB8"/>
  <c r="AB20"/>
  <c r="Y22"/>
  <c r="Y55"/>
  <c r="W47"/>
  <c r="Y21"/>
  <c r="V56"/>
  <c r="Y7"/>
  <c r="X20"/>
  <c r="W41"/>
  <c r="Y41" s="1"/>
  <c r="Y48"/>
  <c r="W56"/>
  <c r="AA29"/>
  <c r="Y9"/>
  <c r="Y24"/>
  <c r="W53"/>
  <c r="Y51"/>
  <c r="AD89" i="2"/>
  <c r="AA86"/>
  <c r="AA80"/>
  <c r="Y62"/>
  <c r="AD107"/>
  <c r="Y32"/>
  <c r="AD11"/>
  <c r="Y11"/>
  <c r="AA9"/>
  <c r="AB56" i="13"/>
  <c r="W38"/>
  <c r="Y36"/>
  <c r="X27"/>
  <c r="AB44"/>
  <c r="X28"/>
  <c r="Y37"/>
  <c r="N59"/>
  <c r="AB50"/>
  <c r="AB14"/>
  <c r="Z345" i="10"/>
  <c r="Z179"/>
  <c r="BA62" i="12"/>
  <c r="BC63"/>
  <c r="AV60"/>
  <c r="AW12"/>
  <c r="BA63"/>
  <c r="AT60"/>
  <c r="AU12"/>
  <c r="AV61"/>
  <c r="AW13"/>
  <c r="AT61"/>
  <c r="AU13"/>
  <c r="BC62"/>
  <c r="AA31" i="2"/>
  <c r="Z32"/>
  <c r="AD32"/>
  <c r="AD31"/>
  <c r="AD41"/>
  <c r="AA77"/>
  <c r="Y45" i="13"/>
  <c r="Z60" i="2"/>
  <c r="AA60" s="1"/>
  <c r="Y71"/>
  <c r="AA71" s="1"/>
  <c r="AA40"/>
  <c r="Z41"/>
  <c r="AD62"/>
  <c r="AD61"/>
  <c r="AA95"/>
  <c r="AA35"/>
  <c r="AA87"/>
  <c r="AA10"/>
  <c r="Z11"/>
  <c r="AA68"/>
  <c r="Z61"/>
  <c r="AA89"/>
  <c r="Y15" i="13"/>
  <c r="X14"/>
  <c r="AB26"/>
  <c r="AB47"/>
  <c r="AB11"/>
  <c r="AB27"/>
  <c r="Y52"/>
  <c r="X53"/>
  <c r="Y46"/>
  <c r="X47"/>
  <c r="Y16"/>
  <c r="X17"/>
  <c r="Y10"/>
  <c r="X11"/>
  <c r="W28"/>
  <c r="Z29"/>
  <c r="AB53"/>
  <c r="AB17"/>
  <c r="AB57"/>
  <c r="X57"/>
  <c r="AB23"/>
  <c r="AB28"/>
  <c r="W58"/>
  <c r="Z59"/>
  <c r="AB41"/>
  <c r="M98" i="2"/>
  <c r="O98" s="1"/>
  <c r="O65"/>
  <c r="O23"/>
  <c r="O88"/>
  <c r="P142" i="11"/>
  <c r="V44" i="13"/>
  <c r="U86" i="2"/>
  <c r="U14"/>
  <c r="U56"/>
  <c r="S63" i="7"/>
  <c r="T345" i="10"/>
  <c r="T251"/>
  <c r="U65" i="2"/>
  <c r="M90" i="7"/>
  <c r="U20" i="2"/>
  <c r="X80"/>
  <c r="T281" i="10"/>
  <c r="Q142" i="11"/>
  <c r="S142" s="1"/>
  <c r="R71" i="2"/>
  <c r="N251" i="10"/>
  <c r="U83" i="2"/>
  <c r="S8" i="16"/>
  <c r="S31" i="9"/>
  <c r="P20" i="14"/>
  <c r="R26" i="11"/>
  <c r="T206" i="10"/>
  <c r="T249"/>
  <c r="S204" i="7"/>
  <c r="S158"/>
  <c r="S18" i="13"/>
  <c r="AI56" i="12"/>
  <c r="AI58"/>
  <c r="S54" i="13"/>
  <c r="S42"/>
  <c r="V26"/>
  <c r="Q38"/>
  <c r="Q56"/>
  <c r="V50"/>
  <c r="S36"/>
  <c r="AQ61" i="12"/>
  <c r="U74" i="2"/>
  <c r="P50" i="13"/>
  <c r="S48"/>
  <c r="U59"/>
  <c r="V59" s="1"/>
  <c r="S9"/>
  <c r="S45"/>
  <c r="V14"/>
  <c r="U8" i="2"/>
  <c r="N18" i="14"/>
  <c r="P18" s="1"/>
  <c r="Q188" i="11"/>
  <c r="S188" s="1"/>
  <c r="S174"/>
  <c r="Q125"/>
  <c r="S125" s="1"/>
  <c r="S100"/>
  <c r="S75"/>
  <c r="Q72"/>
  <c r="S72" s="1"/>
  <c r="Q26"/>
  <c r="T179" i="10"/>
  <c r="T343"/>
  <c r="T204"/>
  <c r="N104"/>
  <c r="T94" i="8"/>
  <c r="V20" i="13"/>
  <c r="R58"/>
  <c r="S24"/>
  <c r="S253" i="7"/>
  <c r="Q47" i="13"/>
  <c r="Q23"/>
  <c r="Q50"/>
  <c r="Q26"/>
  <c r="Q11"/>
  <c r="Q8"/>
  <c r="S51"/>
  <c r="Q17"/>
  <c r="Q53"/>
  <c r="Q41"/>
  <c r="S15"/>
  <c r="Q44"/>
  <c r="Q20"/>
  <c r="AI48" i="24"/>
  <c r="AF78" i="22"/>
  <c r="AG51"/>
  <c r="AQ60" i="12"/>
  <c r="AO61"/>
  <c r="AO60"/>
  <c r="V53" i="13"/>
  <c r="U98" i="2"/>
  <c r="V41" i="13"/>
  <c r="U80" i="2"/>
  <c r="U77"/>
  <c r="X71"/>
  <c r="S107"/>
  <c r="U107" s="1"/>
  <c r="V17" i="13"/>
  <c r="U39" i="2"/>
  <c r="S41"/>
  <c r="S62"/>
  <c r="X41"/>
  <c r="X107"/>
  <c r="U35"/>
  <c r="S6" i="13"/>
  <c r="U9" i="2"/>
  <c r="S30"/>
  <c r="S32" s="1"/>
  <c r="AH60" i="12"/>
  <c r="AI12"/>
  <c r="AO62"/>
  <c r="AJ61"/>
  <c r="AK13"/>
  <c r="AH61"/>
  <c r="AI13"/>
  <c r="AO63"/>
  <c r="AJ60"/>
  <c r="AK12"/>
  <c r="AQ62"/>
  <c r="U61" i="2"/>
  <c r="X62"/>
  <c r="X61"/>
  <c r="T60"/>
  <c r="U60" s="1"/>
  <c r="U10"/>
  <c r="T11"/>
  <c r="U11" s="1"/>
  <c r="U68"/>
  <c r="U87"/>
  <c r="S71"/>
  <c r="U71" s="1"/>
  <c r="U31"/>
  <c r="T32"/>
  <c r="X11"/>
  <c r="U40"/>
  <c r="T41"/>
  <c r="X32"/>
  <c r="X31"/>
  <c r="U95"/>
  <c r="U89"/>
  <c r="V23" i="13"/>
  <c r="V11"/>
  <c r="V38"/>
  <c r="Q58"/>
  <c r="V47"/>
  <c r="S52"/>
  <c r="R53"/>
  <c r="S40"/>
  <c r="R41"/>
  <c r="S43"/>
  <c r="R44"/>
  <c r="S37"/>
  <c r="R38"/>
  <c r="S13"/>
  <c r="R14"/>
  <c r="S7"/>
  <c r="R8"/>
  <c r="S22"/>
  <c r="R23"/>
  <c r="S10"/>
  <c r="R11"/>
  <c r="S46"/>
  <c r="R47"/>
  <c r="S55"/>
  <c r="R56"/>
  <c r="S25"/>
  <c r="R26"/>
  <c r="S16"/>
  <c r="R17"/>
  <c r="V57"/>
  <c r="R57"/>
  <c r="S57" s="1"/>
  <c r="V27"/>
  <c r="R27"/>
  <c r="S49"/>
  <c r="R50"/>
  <c r="S19"/>
  <c r="R20"/>
  <c r="AF78" i="24"/>
  <c r="M35" i="14"/>
  <c r="I35"/>
  <c r="M172" i="11"/>
  <c r="L72"/>
  <c r="M72" s="1"/>
  <c r="M54"/>
  <c r="P46"/>
  <c r="P26"/>
  <c r="N343" i="10"/>
  <c r="N206"/>
  <c r="N303"/>
  <c r="N152"/>
  <c r="N13"/>
  <c r="L220" i="7"/>
  <c r="M158"/>
  <c r="AI78" i="22"/>
  <c r="X60" i="12"/>
  <c r="X62" s="1"/>
  <c r="V60"/>
  <c r="V62" s="1"/>
  <c r="X61"/>
  <c r="Y28"/>
  <c r="Y59"/>
  <c r="W58"/>
  <c r="Y21"/>
  <c r="W12"/>
  <c r="W56"/>
  <c r="O104" i="2"/>
  <c r="O78"/>
  <c r="O83"/>
  <c r="R80"/>
  <c r="P57" i="13"/>
  <c r="P23"/>
  <c r="P26"/>
  <c r="O56" i="2"/>
  <c r="O29"/>
  <c r="H35" i="14"/>
  <c r="H18"/>
  <c r="M127" i="11"/>
  <c r="K92"/>
  <c r="M92" s="1"/>
  <c r="M75"/>
  <c r="K46"/>
  <c r="M46" s="1"/>
  <c r="M28"/>
  <c r="N204" i="10"/>
  <c r="N179"/>
  <c r="L27"/>
  <c r="N27" s="1"/>
  <c r="P38" i="13"/>
  <c r="P14"/>
  <c r="P17"/>
  <c r="M115" i="7"/>
  <c r="AE78" i="24"/>
  <c r="AI78" s="1"/>
  <c r="P47" i="13"/>
  <c r="AD78" i="22"/>
  <c r="AG48"/>
  <c r="T61" i="12"/>
  <c r="W36"/>
  <c r="AC63"/>
  <c r="Y58"/>
  <c r="P11" i="13"/>
  <c r="P53"/>
  <c r="P56"/>
  <c r="R98" i="2"/>
  <c r="P28" i="13"/>
  <c r="M107" i="2"/>
  <c r="R107"/>
  <c r="R89"/>
  <c r="O92"/>
  <c r="O69"/>
  <c r="R62"/>
  <c r="N29" i="13"/>
  <c r="R32" i="2"/>
  <c r="P8" i="13"/>
  <c r="P20"/>
  <c r="P27"/>
  <c r="O29"/>
  <c r="Y45" i="12"/>
  <c r="W29"/>
  <c r="U60"/>
  <c r="U62" s="1"/>
  <c r="T60"/>
  <c r="T62" s="1"/>
  <c r="W20"/>
  <c r="AE62"/>
  <c r="AC62"/>
  <c r="AE63"/>
  <c r="O50" i="2"/>
  <c r="O74"/>
  <c r="O38"/>
  <c r="O44"/>
  <c r="O14"/>
  <c r="O86"/>
  <c r="M80"/>
  <c r="O35"/>
  <c r="O79"/>
  <c r="O105"/>
  <c r="R41"/>
  <c r="P41" i="13"/>
  <c r="O97" i="2"/>
  <c r="O77"/>
  <c r="O68"/>
  <c r="P44" i="13"/>
  <c r="R11" i="2"/>
  <c r="P58" i="13"/>
  <c r="O59"/>
  <c r="J156" i="7"/>
  <c r="J157"/>
  <c r="J35" i="14" l="1"/>
  <c r="O71" i="2"/>
  <c r="AG107"/>
  <c r="AE28" i="13"/>
  <c r="AE20"/>
  <c r="B78" i="23"/>
  <c r="E78" s="1"/>
  <c r="E48"/>
  <c r="E78" i="20"/>
  <c r="AG78" i="24"/>
  <c r="O107" i="2"/>
  <c r="W61" i="12"/>
  <c r="U41" i="2"/>
  <c r="Y61" i="12"/>
  <c r="O80" i="2"/>
  <c r="T152" i="10"/>
  <c r="AF62" i="2"/>
  <c r="AG62" s="1"/>
  <c r="Y57" i="13"/>
  <c r="AE53"/>
  <c r="AA41" i="2"/>
  <c r="AE41" i="13"/>
  <c r="AB59"/>
  <c r="AE26"/>
  <c r="AE14"/>
  <c r="AE44"/>
  <c r="Q59"/>
  <c r="W59"/>
  <c r="Y27"/>
  <c r="Y8"/>
  <c r="AE8"/>
  <c r="AC29"/>
  <c r="Q29"/>
  <c r="W29"/>
  <c r="S27"/>
  <c r="S28"/>
  <c r="Y20"/>
  <c r="AE47"/>
  <c r="AE11"/>
  <c r="AH29"/>
  <c r="AE50"/>
  <c r="AE56"/>
  <c r="S14"/>
  <c r="AE17"/>
  <c r="Y26"/>
  <c r="AE23"/>
  <c r="AE57"/>
  <c r="AE58"/>
  <c r="AE27"/>
  <c r="AC59"/>
  <c r="BI61" i="12"/>
  <c r="BH63"/>
  <c r="BG61"/>
  <c r="BF63"/>
  <c r="BG60"/>
  <c r="BF62"/>
  <c r="BI60"/>
  <c r="BH62"/>
  <c r="AG31" i="2"/>
  <c r="AF32"/>
  <c r="AG32" s="1"/>
  <c r="AD59" i="13"/>
  <c r="AD29"/>
  <c r="Y38"/>
  <c r="AA11" i="2"/>
  <c r="Y44" i="13"/>
  <c r="Y23"/>
  <c r="Y56"/>
  <c r="X29"/>
  <c r="X59"/>
  <c r="AB29"/>
  <c r="Y11"/>
  <c r="Y17"/>
  <c r="Y14"/>
  <c r="S38"/>
  <c r="Y47"/>
  <c r="P59"/>
  <c r="Y53"/>
  <c r="Y28"/>
  <c r="AA32" i="2"/>
  <c r="AU61" i="12"/>
  <c r="AT63"/>
  <c r="AU60"/>
  <c r="AT62"/>
  <c r="AW60"/>
  <c r="AV62"/>
  <c r="AW61"/>
  <c r="AV63"/>
  <c r="Y58" i="13"/>
  <c r="AA61" i="2"/>
  <c r="Z62"/>
  <c r="AA62" s="1"/>
  <c r="S11" i="13"/>
  <c r="S8"/>
  <c r="S20"/>
  <c r="S56"/>
  <c r="S26" i="11"/>
  <c r="S26" i="13"/>
  <c r="S47"/>
  <c r="S23"/>
  <c r="S53"/>
  <c r="S50"/>
  <c r="S41"/>
  <c r="S17"/>
  <c r="S44"/>
  <c r="AG78" i="22"/>
  <c r="AQ63" i="12"/>
  <c r="S58" i="13"/>
  <c r="U30" i="2"/>
  <c r="U32"/>
  <c r="AK60" i="12"/>
  <c r="AJ62"/>
  <c r="AI61"/>
  <c r="AH63"/>
  <c r="AI60"/>
  <c r="AH62"/>
  <c r="AK61"/>
  <c r="AJ63"/>
  <c r="T62" i="2"/>
  <c r="U62" s="1"/>
  <c r="R59" i="13"/>
  <c r="R29"/>
  <c r="X63" i="12"/>
  <c r="Y63" s="1"/>
  <c r="Y62"/>
  <c r="T63"/>
  <c r="W63" s="1"/>
  <c r="P29" i="13"/>
  <c r="W60" i="12"/>
  <c r="W62"/>
  <c r="Y60"/>
  <c r="C36" i="13"/>
  <c r="C37"/>
  <c r="C39"/>
  <c r="C40"/>
  <c r="C42"/>
  <c r="C43"/>
  <c r="C45"/>
  <c r="C46"/>
  <c r="C48"/>
  <c r="C49"/>
  <c r="C51"/>
  <c r="C52"/>
  <c r="C54"/>
  <c r="C55"/>
  <c r="C6"/>
  <c r="C7"/>
  <c r="C9"/>
  <c r="C10"/>
  <c r="C12"/>
  <c r="C13"/>
  <c r="C15"/>
  <c r="C16"/>
  <c r="C18"/>
  <c r="C19"/>
  <c r="C21"/>
  <c r="C22"/>
  <c r="C24"/>
  <c r="C25"/>
  <c r="AE29" l="1"/>
  <c r="BI63" i="12"/>
  <c r="BI62"/>
  <c r="BG63"/>
  <c r="BG62"/>
  <c r="AW63"/>
  <c r="AW62"/>
  <c r="AU63"/>
  <c r="AU62"/>
  <c r="Y29" i="13"/>
  <c r="AK63" i="12"/>
  <c r="AK62"/>
  <c r="AI63"/>
  <c r="AI62"/>
  <c r="Y59" i="13"/>
  <c r="S59"/>
  <c r="S29"/>
  <c r="AE59"/>
  <c r="C56"/>
  <c r="C53"/>
  <c r="C50"/>
  <c r="C44"/>
  <c r="C41"/>
  <c r="C20"/>
  <c r="C26"/>
  <c r="C8"/>
  <c r="C23"/>
  <c r="C47"/>
  <c r="C38"/>
  <c r="C14"/>
  <c r="C17"/>
  <c r="C11"/>
  <c r="J25" i="16"/>
  <c r="F24"/>
  <c r="E24"/>
  <c r="D24"/>
  <c r="C24"/>
  <c r="J17"/>
  <c r="J16"/>
  <c r="F15"/>
  <c r="E15"/>
  <c r="D15"/>
  <c r="C15"/>
  <c r="J5" l="1"/>
  <c r="J8"/>
  <c r="G36" i="14"/>
  <c r="C35" l="1"/>
  <c r="G28"/>
  <c r="G25"/>
  <c r="G26"/>
  <c r="G21"/>
  <c r="G24"/>
  <c r="G22"/>
  <c r="G23"/>
  <c r="G20"/>
  <c r="G19"/>
  <c r="C18" l="1"/>
  <c r="G8"/>
  <c r="G10"/>
  <c r="G9"/>
  <c r="G5"/>
  <c r="J189" i="11"/>
  <c r="F188"/>
  <c r="E188"/>
  <c r="D188"/>
  <c r="C188"/>
  <c r="J184"/>
  <c r="J181"/>
  <c r="J179"/>
  <c r="J182"/>
  <c r="J178"/>
  <c r="J177"/>
  <c r="J176"/>
  <c r="J175"/>
  <c r="J174"/>
  <c r="J173"/>
  <c r="J188" l="1"/>
  <c r="F172"/>
  <c r="E172"/>
  <c r="D172"/>
  <c r="C172"/>
  <c r="J170"/>
  <c r="J161"/>
  <c r="J158"/>
  <c r="J155"/>
  <c r="J162"/>
  <c r="J157"/>
  <c r="J160"/>
  <c r="J159"/>
  <c r="J156"/>
  <c r="J153"/>
  <c r="J154"/>
  <c r="J151"/>
  <c r="J152"/>
  <c r="J150"/>
  <c r="J143"/>
  <c r="F142"/>
  <c r="E142"/>
  <c r="D142"/>
  <c r="C142"/>
  <c r="J129"/>
  <c r="J127"/>
  <c r="J128"/>
  <c r="J126"/>
  <c r="J172" l="1"/>
  <c r="F125"/>
  <c r="E125"/>
  <c r="D125"/>
  <c r="C125"/>
  <c r="J100"/>
  <c r="J93"/>
  <c r="F92"/>
  <c r="E92"/>
  <c r="D92"/>
  <c r="C92"/>
  <c r="J83"/>
  <c r="J82"/>
  <c r="J81"/>
  <c r="J76"/>
  <c r="J79"/>
  <c r="J77"/>
  <c r="J75"/>
  <c r="J80"/>
  <c r="J73"/>
  <c r="F72"/>
  <c r="E72"/>
  <c r="D72"/>
  <c r="C72"/>
  <c r="J55"/>
  <c r="J47"/>
  <c r="F46"/>
  <c r="E46"/>
  <c r="D46"/>
  <c r="C46"/>
  <c r="J32"/>
  <c r="J31"/>
  <c r="J30"/>
  <c r="J29"/>
  <c r="J28"/>
  <c r="J27"/>
  <c r="J125" l="1"/>
  <c r="J92"/>
  <c r="J46"/>
  <c r="F26"/>
  <c r="E26"/>
  <c r="D26"/>
  <c r="C26"/>
  <c r="J8"/>
  <c r="J10"/>
  <c r="J5"/>
  <c r="J9"/>
  <c r="J7"/>
  <c r="J6"/>
  <c r="G345" i="10"/>
  <c r="F345"/>
  <c r="E345"/>
  <c r="D345"/>
  <c r="K344"/>
  <c r="G343"/>
  <c r="F343"/>
  <c r="E343"/>
  <c r="D343"/>
  <c r="K329"/>
  <c r="K328"/>
  <c r="K330"/>
  <c r="K327"/>
  <c r="K326"/>
  <c r="G325"/>
  <c r="F325"/>
  <c r="E325"/>
  <c r="D325"/>
  <c r="K313"/>
  <c r="K312"/>
  <c r="K311"/>
  <c r="K310"/>
  <c r="K309"/>
  <c r="G303"/>
  <c r="F303"/>
  <c r="E303"/>
  <c r="D303"/>
  <c r="K302"/>
  <c r="K299"/>
  <c r="K287"/>
  <c r="K286"/>
  <c r="K285"/>
  <c r="K284"/>
  <c r="K283"/>
  <c r="K282"/>
  <c r="G281"/>
  <c r="F281"/>
  <c r="E281"/>
  <c r="D281"/>
  <c r="K263"/>
  <c r="K262"/>
  <c r="K260"/>
  <c r="K261"/>
  <c r="K259"/>
  <c r="G251"/>
  <c r="F251"/>
  <c r="E251"/>
  <c r="D251"/>
  <c r="K250"/>
  <c r="J26" i="11" l="1"/>
  <c r="K343" i="10"/>
  <c r="K281"/>
  <c r="K251"/>
  <c r="K303"/>
  <c r="G249"/>
  <c r="F249"/>
  <c r="E249"/>
  <c r="D249"/>
  <c r="K233"/>
  <c r="K234"/>
  <c r="K235"/>
  <c r="K232"/>
  <c r="K229"/>
  <c r="K231"/>
  <c r="K230"/>
  <c r="K228"/>
  <c r="K227"/>
  <c r="K249" l="1"/>
  <c r="G226"/>
  <c r="F226"/>
  <c r="E226"/>
  <c r="D226"/>
  <c r="K213"/>
  <c r="K212"/>
  <c r="K226" l="1"/>
  <c r="G206"/>
  <c r="F206"/>
  <c r="E206"/>
  <c r="D206"/>
  <c r="K205"/>
  <c r="G204"/>
  <c r="F204"/>
  <c r="E204"/>
  <c r="D204"/>
  <c r="K185"/>
  <c r="K198"/>
  <c r="K203"/>
  <c r="K189"/>
  <c r="K194"/>
  <c r="K199"/>
  <c r="K195"/>
  <c r="K190"/>
  <c r="K192"/>
  <c r="K196"/>
  <c r="K193"/>
  <c r="K184"/>
  <c r="K187"/>
  <c r="K188"/>
  <c r="K191"/>
  <c r="K186"/>
  <c r="K183"/>
  <c r="K182"/>
  <c r="K181"/>
  <c r="K180"/>
  <c r="G179"/>
  <c r="F179"/>
  <c r="E179"/>
  <c r="D179"/>
  <c r="K163"/>
  <c r="K164"/>
  <c r="K162"/>
  <c r="G154"/>
  <c r="F154"/>
  <c r="E154"/>
  <c r="D154"/>
  <c r="K153"/>
  <c r="G152"/>
  <c r="F152"/>
  <c r="E152"/>
  <c r="D152"/>
  <c r="K132"/>
  <c r="K131"/>
  <c r="K130"/>
  <c r="G129"/>
  <c r="F129"/>
  <c r="E129"/>
  <c r="D129"/>
  <c r="K121"/>
  <c r="K119"/>
  <c r="K120"/>
  <c r="K115"/>
  <c r="K116"/>
  <c r="K113"/>
  <c r="K114"/>
  <c r="K111"/>
  <c r="K112"/>
  <c r="K105"/>
  <c r="G104"/>
  <c r="F104"/>
  <c r="E104"/>
  <c r="D104"/>
  <c r="K98"/>
  <c r="K97"/>
  <c r="K94"/>
  <c r="K92"/>
  <c r="K95"/>
  <c r="K91"/>
  <c r="K90"/>
  <c r="K206" l="1"/>
  <c r="K152"/>
  <c r="K179"/>
  <c r="K154"/>
  <c r="K204"/>
  <c r="G89"/>
  <c r="F89"/>
  <c r="E89"/>
  <c r="D89"/>
  <c r="K70"/>
  <c r="K69"/>
  <c r="K68"/>
  <c r="K67"/>
  <c r="K66"/>
  <c r="L60"/>
  <c r="G60"/>
  <c r="F60"/>
  <c r="E60"/>
  <c r="D60"/>
  <c r="K59"/>
  <c r="G58"/>
  <c r="F58"/>
  <c r="E58"/>
  <c r="D58"/>
  <c r="K48"/>
  <c r="K47"/>
  <c r="G46"/>
  <c r="F46"/>
  <c r="E46"/>
  <c r="D46"/>
  <c r="K33"/>
  <c r="K29"/>
  <c r="K32"/>
  <c r="K31"/>
  <c r="K30"/>
  <c r="K28"/>
  <c r="G27"/>
  <c r="F27"/>
  <c r="E27"/>
  <c r="D27"/>
  <c r="K15"/>
  <c r="K16"/>
  <c r="K14"/>
  <c r="K13"/>
  <c r="K12"/>
  <c r="G11"/>
  <c r="F11"/>
  <c r="E11"/>
  <c r="D11"/>
  <c r="N60" l="1"/>
  <c r="K60"/>
  <c r="K27"/>
  <c r="K6"/>
  <c r="J49" i="9"/>
  <c r="F48" l="1"/>
  <c r="E48"/>
  <c r="D48"/>
  <c r="C48"/>
  <c r="J33"/>
  <c r="J32"/>
  <c r="F31" l="1"/>
  <c r="E31"/>
  <c r="D31"/>
  <c r="C31"/>
  <c r="J30"/>
  <c r="J7"/>
  <c r="J6"/>
  <c r="J5"/>
  <c r="G96" i="8"/>
  <c r="F96"/>
  <c r="E96"/>
  <c r="D96"/>
  <c r="G94"/>
  <c r="F94"/>
  <c r="E94"/>
  <c r="D94"/>
  <c r="K69"/>
  <c r="K70"/>
  <c r="K68"/>
  <c r="K96" l="1"/>
  <c r="J31" i="9"/>
  <c r="K94" i="8"/>
  <c r="G66"/>
  <c r="F66"/>
  <c r="E66"/>
  <c r="D66"/>
  <c r="K48"/>
  <c r="K47"/>
  <c r="G46"/>
  <c r="F46"/>
  <c r="E46"/>
  <c r="D46"/>
  <c r="K45"/>
  <c r="G44"/>
  <c r="F44"/>
  <c r="E44"/>
  <c r="D44"/>
  <c r="K36"/>
  <c r="K35"/>
  <c r="K38"/>
  <c r="K34"/>
  <c r="K33"/>
  <c r="K37"/>
  <c r="K32"/>
  <c r="K31"/>
  <c r="K30"/>
  <c r="K46" l="1"/>
  <c r="G29" l="1"/>
  <c r="F29"/>
  <c r="E29"/>
  <c r="D29"/>
  <c r="K11"/>
  <c r="K9"/>
  <c r="K10"/>
  <c r="K6"/>
  <c r="K8"/>
  <c r="K7"/>
  <c r="J270" i="7"/>
  <c r="J269" l="1"/>
  <c r="F269"/>
  <c r="E269"/>
  <c r="D269"/>
  <c r="C269"/>
  <c r="J257"/>
  <c r="J255"/>
  <c r="J256"/>
  <c r="J254"/>
  <c r="F253"/>
  <c r="E253"/>
  <c r="D253"/>
  <c r="C253"/>
  <c r="J251"/>
  <c r="J252"/>
  <c r="J239"/>
  <c r="J237"/>
  <c r="J234"/>
  <c r="J238"/>
  <c r="J231"/>
  <c r="J232"/>
  <c r="J230"/>
  <c r="J233"/>
  <c r="J235"/>
  <c r="J229"/>
  <c r="J228"/>
  <c r="J221"/>
  <c r="F220"/>
  <c r="E220"/>
  <c r="D220"/>
  <c r="C220"/>
  <c r="J219"/>
  <c r="J212"/>
  <c r="J210"/>
  <c r="J211"/>
  <c r="J209"/>
  <c r="J208"/>
  <c r="J207"/>
  <c r="J206"/>
  <c r="J205"/>
  <c r="F204"/>
  <c r="E204"/>
  <c r="D204"/>
  <c r="C204"/>
  <c r="J185"/>
  <c r="J184"/>
  <c r="J177"/>
  <c r="F176"/>
  <c r="E176"/>
  <c r="D176"/>
  <c r="C176"/>
  <c r="J163"/>
  <c r="J164"/>
  <c r="J165"/>
  <c r="J162"/>
  <c r="J161"/>
  <c r="J160"/>
  <c r="J159"/>
  <c r="F158"/>
  <c r="E158"/>
  <c r="D158"/>
  <c r="C158"/>
  <c r="J149"/>
  <c r="J148"/>
  <c r="J147"/>
  <c r="J146"/>
  <c r="J145"/>
  <c r="J143"/>
  <c r="J141"/>
  <c r="J144"/>
  <c r="J142"/>
  <c r="J140"/>
  <c r="J139"/>
  <c r="J132"/>
  <c r="F131"/>
  <c r="E131"/>
  <c r="D131"/>
  <c r="C131"/>
  <c r="J119"/>
  <c r="J120"/>
  <c r="J118"/>
  <c r="J117"/>
  <c r="J116"/>
  <c r="F115"/>
  <c r="E115"/>
  <c r="D115"/>
  <c r="C115"/>
  <c r="J98"/>
  <c r="J100"/>
  <c r="J95"/>
  <c r="J92"/>
  <c r="J97"/>
  <c r="J96"/>
  <c r="J99"/>
  <c r="J93"/>
  <c r="J94"/>
  <c r="J91"/>
  <c r="J90"/>
  <c r="J83"/>
  <c r="J176" l="1"/>
  <c r="J220"/>
  <c r="J131"/>
  <c r="J158"/>
  <c r="J115"/>
  <c r="J253"/>
  <c r="F82"/>
  <c r="E82"/>
  <c r="D82"/>
  <c r="C82"/>
  <c r="J65"/>
  <c r="J66"/>
  <c r="J64"/>
  <c r="F63"/>
  <c r="E63"/>
  <c r="D63"/>
  <c r="C63"/>
  <c r="J49"/>
  <c r="J47"/>
  <c r="J48"/>
  <c r="J46"/>
  <c r="J44"/>
  <c r="J45"/>
  <c r="J43"/>
  <c r="J36"/>
  <c r="F35"/>
  <c r="E35"/>
  <c r="D35"/>
  <c r="C35"/>
  <c r="J21"/>
  <c r="J22"/>
  <c r="J20"/>
  <c r="J19"/>
  <c r="J18"/>
  <c r="F17"/>
  <c r="E17"/>
  <c r="D17"/>
  <c r="C17"/>
  <c r="J9"/>
  <c r="J8"/>
  <c r="J7"/>
  <c r="J6"/>
  <c r="J5"/>
  <c r="AH39" i="24"/>
  <c r="F39" i="23" s="1"/>
  <c r="AF39" i="24"/>
  <c r="D39" i="23" s="1"/>
  <c r="AE39" i="24"/>
  <c r="C39" i="23" s="1"/>
  <c r="AD39" i="24"/>
  <c r="B39" i="23" s="1"/>
  <c r="AH37" i="24"/>
  <c r="F37" i="23" s="1"/>
  <c r="AF37" i="24"/>
  <c r="D37" i="23" s="1"/>
  <c r="AE37" i="24"/>
  <c r="C37" i="23" s="1"/>
  <c r="AD37" i="24"/>
  <c r="B37" i="23" s="1"/>
  <c r="AH36" i="24"/>
  <c r="F36" i="23" s="1"/>
  <c r="AF36" i="24"/>
  <c r="D36" i="23" s="1"/>
  <c r="AE36" i="24"/>
  <c r="C36" i="23" s="1"/>
  <c r="AD36" i="24"/>
  <c r="B36" i="23" s="1"/>
  <c r="AH35" i="24"/>
  <c r="F35" i="23" s="1"/>
  <c r="AF35" i="24"/>
  <c r="D35" i="23" s="1"/>
  <c r="AE35" i="24"/>
  <c r="C35" i="23" s="1"/>
  <c r="AD35" i="24"/>
  <c r="B35" i="23" s="1"/>
  <c r="AH34" i="24"/>
  <c r="F34" i="23" s="1"/>
  <c r="AF34" i="24"/>
  <c r="D34" i="23" s="1"/>
  <c r="AE34" i="24"/>
  <c r="C34" i="23" s="1"/>
  <c r="AD34" i="24"/>
  <c r="B34" i="23" s="1"/>
  <c r="AH33" i="24"/>
  <c r="F33" i="23" s="1"/>
  <c r="AF33" i="24"/>
  <c r="D33" i="23" s="1"/>
  <c r="AE33" i="24"/>
  <c r="C33" i="23" s="1"/>
  <c r="AD33" i="24"/>
  <c r="B33" i="23" s="1"/>
  <c r="AH32" i="24"/>
  <c r="F32" i="23" s="1"/>
  <c r="AF32" i="24"/>
  <c r="D32" i="23" s="1"/>
  <c r="AE32" i="24"/>
  <c r="C32" i="23" s="1"/>
  <c r="AD32" i="24"/>
  <c r="B32" i="23" s="1"/>
  <c r="AH31" i="24"/>
  <c r="F31" i="23" s="1"/>
  <c r="AF31" i="24"/>
  <c r="D31" i="23" s="1"/>
  <c r="AE31" i="24"/>
  <c r="C31" i="23" s="1"/>
  <c r="AD31" i="24"/>
  <c r="B31" i="23" s="1"/>
  <c r="AH30" i="24"/>
  <c r="F30" i="23" s="1"/>
  <c r="AF30" i="24"/>
  <c r="D30" i="23" s="1"/>
  <c r="AE30" i="24"/>
  <c r="C30" i="23" s="1"/>
  <c r="AD30" i="24"/>
  <c r="B30" i="23" s="1"/>
  <c r="AH29" i="24"/>
  <c r="F29" i="23" s="1"/>
  <c r="AF29" i="24"/>
  <c r="D29" i="23" s="1"/>
  <c r="AE29" i="24"/>
  <c r="C29" i="23" s="1"/>
  <c r="AD29" i="24"/>
  <c r="B29" i="23" s="1"/>
  <c r="AH28" i="24"/>
  <c r="F28" i="23" s="1"/>
  <c r="AF28" i="24"/>
  <c r="D28" i="23" s="1"/>
  <c r="AE28" i="24"/>
  <c r="C28" i="23" s="1"/>
  <c r="AD28" i="24"/>
  <c r="B28" i="23" s="1"/>
  <c r="AH27" i="24"/>
  <c r="F27" i="23" s="1"/>
  <c r="AF27" i="24"/>
  <c r="D27" i="23" s="1"/>
  <c r="AE27" i="24"/>
  <c r="C27" i="23" s="1"/>
  <c r="AD27" i="24"/>
  <c r="B27" i="23" s="1"/>
  <c r="AH26" i="24"/>
  <c r="F26" i="23" s="1"/>
  <c r="AF26" i="24"/>
  <c r="D26" i="23" s="1"/>
  <c r="AE26" i="24"/>
  <c r="C26" i="23" s="1"/>
  <c r="AD26" i="24"/>
  <c r="B26" i="23" s="1"/>
  <c r="AH25" i="24"/>
  <c r="F25" i="23" s="1"/>
  <c r="AF25" i="24"/>
  <c r="D25" i="23" s="1"/>
  <c r="AE25" i="24"/>
  <c r="C25" i="23" s="1"/>
  <c r="AD25" i="24"/>
  <c r="B25" i="23" s="1"/>
  <c r="AH24" i="24"/>
  <c r="F24" i="23" s="1"/>
  <c r="AF24" i="24"/>
  <c r="D24" i="23" s="1"/>
  <c r="AE24" i="24"/>
  <c r="C24" i="23" s="1"/>
  <c r="AD24" i="24"/>
  <c r="B24" i="23" s="1"/>
  <c r="AH23" i="24"/>
  <c r="F23" i="23" s="1"/>
  <c r="AF23" i="24"/>
  <c r="D23" i="23" s="1"/>
  <c r="AE23" i="24"/>
  <c r="C23" i="23" s="1"/>
  <c r="AD23" i="24"/>
  <c r="B23" i="23" s="1"/>
  <c r="AH22" i="24"/>
  <c r="F22" i="23" s="1"/>
  <c r="AF22" i="24"/>
  <c r="D22" i="23" s="1"/>
  <c r="AE22" i="24"/>
  <c r="C22" i="23" s="1"/>
  <c r="AD22" i="24"/>
  <c r="B22" i="23" s="1"/>
  <c r="AH21" i="24"/>
  <c r="F21" i="23" s="1"/>
  <c r="AF21" i="24"/>
  <c r="D21" i="23" s="1"/>
  <c r="AE21" i="24"/>
  <c r="C21" i="23" s="1"/>
  <c r="AD21" i="24"/>
  <c r="B21" i="23" s="1"/>
  <c r="AH20" i="24"/>
  <c r="F20" i="23" s="1"/>
  <c r="AF20" i="24"/>
  <c r="D20" i="23" s="1"/>
  <c r="AE20" i="24"/>
  <c r="C20" i="23" s="1"/>
  <c r="AD20" i="24"/>
  <c r="B20" i="23" s="1"/>
  <c r="AH19" i="24"/>
  <c r="F19" i="23" s="1"/>
  <c r="AF19" i="24"/>
  <c r="D19" i="23" s="1"/>
  <c r="AE19" i="24"/>
  <c r="C19" i="23" s="1"/>
  <c r="AD19" i="24"/>
  <c r="B19" i="23" s="1"/>
  <c r="AH18" i="24"/>
  <c r="F18" i="23" s="1"/>
  <c r="AF18" i="24"/>
  <c r="D18" i="23" s="1"/>
  <c r="AE18" i="24"/>
  <c r="C18" i="23" s="1"/>
  <c r="AD18" i="24"/>
  <c r="B18" i="23" s="1"/>
  <c r="AH17" i="24"/>
  <c r="F17" i="23" s="1"/>
  <c r="AF17" i="24"/>
  <c r="D17" i="23" s="1"/>
  <c r="AE17" i="24"/>
  <c r="C17" i="23" s="1"/>
  <c r="AD17" i="24"/>
  <c r="B17" i="23" s="1"/>
  <c r="AH16" i="24"/>
  <c r="F16" i="23" s="1"/>
  <c r="AF16" i="24"/>
  <c r="D16" i="23" s="1"/>
  <c r="AE16" i="24"/>
  <c r="C16" i="23" s="1"/>
  <c r="AD16" i="24"/>
  <c r="B16" i="23" s="1"/>
  <c r="AH15" i="24"/>
  <c r="F15" i="23" s="1"/>
  <c r="AF15" i="24"/>
  <c r="D15" i="23" s="1"/>
  <c r="AE15" i="24"/>
  <c r="C15" i="23" s="1"/>
  <c r="AD15" i="24"/>
  <c r="B15" i="23" s="1"/>
  <c r="AH14" i="24"/>
  <c r="F14" i="23" s="1"/>
  <c r="AF14" i="24"/>
  <c r="D14" i="23" s="1"/>
  <c r="AE14" i="24"/>
  <c r="C14" i="23" s="1"/>
  <c r="AD14" i="24"/>
  <c r="B14" i="23" s="1"/>
  <c r="AH13" i="24"/>
  <c r="F13" i="23" s="1"/>
  <c r="AF13" i="24"/>
  <c r="D13" i="23" s="1"/>
  <c r="AE13" i="24"/>
  <c r="C13" i="23" s="1"/>
  <c r="AD13" i="24"/>
  <c r="B13" i="23" s="1"/>
  <c r="AH12" i="24"/>
  <c r="F12" i="23" s="1"/>
  <c r="AF12" i="24"/>
  <c r="D12" i="23" s="1"/>
  <c r="AE12" i="24"/>
  <c r="C12" i="23" s="1"/>
  <c r="AD12" i="24"/>
  <c r="B12" i="23" s="1"/>
  <c r="AH11" i="24"/>
  <c r="F11" i="23" s="1"/>
  <c r="AF11" i="24"/>
  <c r="D11" i="23" s="1"/>
  <c r="AE11" i="24"/>
  <c r="C11" i="23" s="1"/>
  <c r="AD11" i="24"/>
  <c r="B11" i="23" s="1"/>
  <c r="AH10" i="24"/>
  <c r="F10" i="23" s="1"/>
  <c r="AF10" i="24"/>
  <c r="D10" i="23" s="1"/>
  <c r="AE10" i="24"/>
  <c r="C10" i="23" s="1"/>
  <c r="AD10" i="24"/>
  <c r="B10" i="23" s="1"/>
  <c r="AH9" i="24"/>
  <c r="F9" i="23" s="1"/>
  <c r="AF9" i="24"/>
  <c r="D9" i="23" s="1"/>
  <c r="AE9" i="24"/>
  <c r="C9" i="23" s="1"/>
  <c r="AD9" i="24"/>
  <c r="B9" i="23" s="1"/>
  <c r="AH8" i="24"/>
  <c r="F8" i="23" s="1"/>
  <c r="AF8" i="24"/>
  <c r="D8" i="23" s="1"/>
  <c r="AE8" i="24"/>
  <c r="C8" i="23" s="1"/>
  <c r="AD8" i="24"/>
  <c r="B8" i="23" s="1"/>
  <c r="AH39" i="22"/>
  <c r="F39" i="20" s="1"/>
  <c r="AF39" i="22"/>
  <c r="D39" i="20" s="1"/>
  <c r="AE39" i="22"/>
  <c r="C39" i="20" s="1"/>
  <c r="AD39" i="22"/>
  <c r="B39" i="20" s="1"/>
  <c r="G8" i="23" l="1"/>
  <c r="G9"/>
  <c r="G10"/>
  <c r="G11"/>
  <c r="G12"/>
  <c r="G14"/>
  <c r="G15"/>
  <c r="G16"/>
  <c r="G17"/>
  <c r="G18"/>
  <c r="G19"/>
  <c r="G20"/>
  <c r="G21"/>
  <c r="G22"/>
  <c r="G23"/>
  <c r="J82" i="7"/>
  <c r="E8" i="2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G24"/>
  <c r="G25"/>
  <c r="G26"/>
  <c r="G27"/>
  <c r="G28"/>
  <c r="G29"/>
  <c r="G30"/>
  <c r="G31"/>
  <c r="G32"/>
  <c r="E30"/>
  <c r="G33"/>
  <c r="G34"/>
  <c r="G35"/>
  <c r="G36"/>
  <c r="G37"/>
  <c r="E32"/>
  <c r="E34"/>
  <c r="E36"/>
  <c r="C38"/>
  <c r="G39"/>
  <c r="F38"/>
  <c r="E39"/>
  <c r="B38"/>
  <c r="G13"/>
  <c r="D38"/>
  <c r="E31"/>
  <c r="E33"/>
  <c r="E35"/>
  <c r="E37"/>
  <c r="E39" i="20"/>
  <c r="G39"/>
  <c r="J63" i="7"/>
  <c r="AG8" i="24"/>
  <c r="AG39" i="22"/>
  <c r="AI39" i="24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8"/>
  <c r="AI39" i="22"/>
  <c r="AG11" i="24"/>
  <c r="AG39"/>
  <c r="AG19"/>
  <c r="AG27"/>
  <c r="AD38"/>
  <c r="AG15"/>
  <c r="AG31"/>
  <c r="AG23"/>
  <c r="AG35"/>
  <c r="AG9"/>
  <c r="AG13"/>
  <c r="AG17"/>
  <c r="AG21"/>
  <c r="AG25"/>
  <c r="AG29"/>
  <c r="AG33"/>
  <c r="AG37"/>
  <c r="AG12"/>
  <c r="AG16"/>
  <c r="AG20"/>
  <c r="AG24"/>
  <c r="AG28"/>
  <c r="AG32"/>
  <c r="AG36"/>
  <c r="AG10"/>
  <c r="AG14"/>
  <c r="AG18"/>
  <c r="AG22"/>
  <c r="AG26"/>
  <c r="AG30"/>
  <c r="AG34"/>
  <c r="AH37" i="22"/>
  <c r="F37" i="20" s="1"/>
  <c r="AF37" i="22"/>
  <c r="D37" i="20" s="1"/>
  <c r="AE37" i="22"/>
  <c r="C37" i="20" s="1"/>
  <c r="AD37" i="22"/>
  <c r="B37" i="20" s="1"/>
  <c r="AH36" i="22"/>
  <c r="F36" i="20" s="1"/>
  <c r="AF36" i="22"/>
  <c r="D36" i="20" s="1"/>
  <c r="AE36" i="22"/>
  <c r="C36" i="20" s="1"/>
  <c r="AD36" i="22"/>
  <c r="B36" i="20" s="1"/>
  <c r="AH35" i="22"/>
  <c r="F35" i="20" s="1"/>
  <c r="AF35" i="22"/>
  <c r="D35" i="20" s="1"/>
  <c r="AE35" i="22"/>
  <c r="C35" i="20" s="1"/>
  <c r="AD35" i="22"/>
  <c r="B35" i="20" s="1"/>
  <c r="AH34" i="22"/>
  <c r="F34" i="20" s="1"/>
  <c r="AF34" i="22"/>
  <c r="D34" i="20" s="1"/>
  <c r="AE34" i="22"/>
  <c r="C34" i="20" s="1"/>
  <c r="AD34" i="22"/>
  <c r="B34" i="20" s="1"/>
  <c r="AH33" i="22"/>
  <c r="F33" i="20" s="1"/>
  <c r="AF33" i="22"/>
  <c r="D33" i="20" s="1"/>
  <c r="AE33" i="22"/>
  <c r="C33" i="20" s="1"/>
  <c r="AD33" i="22"/>
  <c r="B33" i="20" s="1"/>
  <c r="AH32" i="22"/>
  <c r="F32" i="20" s="1"/>
  <c r="AF32" i="22"/>
  <c r="D32" i="20" s="1"/>
  <c r="AE32" i="22"/>
  <c r="C32" i="20" s="1"/>
  <c r="AD32" i="22"/>
  <c r="B32" i="20" s="1"/>
  <c r="AH31" i="22"/>
  <c r="F31" i="20" s="1"/>
  <c r="AF31" i="22"/>
  <c r="D31" i="20" s="1"/>
  <c r="AE31" i="22"/>
  <c r="C31" i="20" s="1"/>
  <c r="AD31" i="22"/>
  <c r="B31" i="20" s="1"/>
  <c r="AH30" i="22"/>
  <c r="F30" i="20" s="1"/>
  <c r="AF30" i="22"/>
  <c r="D30" i="20" s="1"/>
  <c r="AE30" i="22"/>
  <c r="C30" i="20" s="1"/>
  <c r="AD30" i="22"/>
  <c r="B30" i="20" s="1"/>
  <c r="AH29" i="22"/>
  <c r="F29" i="20" s="1"/>
  <c r="AF29" i="22"/>
  <c r="D29" i="20" s="1"/>
  <c r="AE29" i="22"/>
  <c r="C29" i="20" s="1"/>
  <c r="AD29" i="22"/>
  <c r="B29" i="20" s="1"/>
  <c r="AH28" i="22"/>
  <c r="F28" i="20" s="1"/>
  <c r="AF28" i="22"/>
  <c r="D28" i="20" s="1"/>
  <c r="AE28" i="22"/>
  <c r="C28" i="20" s="1"/>
  <c r="AD28" i="22"/>
  <c r="B28" i="20" s="1"/>
  <c r="AH27" i="22"/>
  <c r="F27" i="20" s="1"/>
  <c r="AF27" i="22"/>
  <c r="D27" i="20" s="1"/>
  <c r="AE27" i="22"/>
  <c r="C27" i="20" s="1"/>
  <c r="AD27" i="22"/>
  <c r="B27" i="20" s="1"/>
  <c r="AH26" i="22"/>
  <c r="F26" i="20" s="1"/>
  <c r="AF26" i="22"/>
  <c r="D26" i="20" s="1"/>
  <c r="AE26" i="22"/>
  <c r="C26" i="20" s="1"/>
  <c r="AD26" i="22"/>
  <c r="B26" i="20" s="1"/>
  <c r="AH25" i="22"/>
  <c r="F25" i="20" s="1"/>
  <c r="AF25" i="22"/>
  <c r="D25" i="20" s="1"/>
  <c r="AE25" i="22"/>
  <c r="C25" i="20" s="1"/>
  <c r="AD25" i="22"/>
  <c r="B25" i="20" s="1"/>
  <c r="AH24" i="22"/>
  <c r="F24" i="20" s="1"/>
  <c r="AF24" i="22"/>
  <c r="D24" i="20" s="1"/>
  <c r="AE24" i="22"/>
  <c r="C24" i="20" s="1"/>
  <c r="AD24" i="22"/>
  <c r="B24" i="20" s="1"/>
  <c r="AH23" i="22"/>
  <c r="F23" i="20" s="1"/>
  <c r="AF23" i="22"/>
  <c r="D23" i="20" s="1"/>
  <c r="AE23" i="22"/>
  <c r="C23" i="20" s="1"/>
  <c r="AD23" i="22"/>
  <c r="B23" i="20" s="1"/>
  <c r="AH22" i="22"/>
  <c r="F22" i="20" s="1"/>
  <c r="AF22" i="22"/>
  <c r="D22" i="20" s="1"/>
  <c r="AE22" i="22"/>
  <c r="C22" i="20" s="1"/>
  <c r="AD22" i="22"/>
  <c r="B22" i="20" s="1"/>
  <c r="AH21" i="22"/>
  <c r="F21" i="20" s="1"/>
  <c r="AF21" i="22"/>
  <c r="D21" i="20" s="1"/>
  <c r="AE21" i="22"/>
  <c r="C21" i="20" s="1"/>
  <c r="AD21" i="22"/>
  <c r="B21" i="20" s="1"/>
  <c r="AH20" i="22"/>
  <c r="F20" i="20" s="1"/>
  <c r="AF20" i="22"/>
  <c r="D20" i="20" s="1"/>
  <c r="AE20" i="22"/>
  <c r="C20" i="20" s="1"/>
  <c r="AD20" i="22"/>
  <c r="B20" i="20" s="1"/>
  <c r="AH19" i="22"/>
  <c r="F19" i="20" s="1"/>
  <c r="AF19" i="22"/>
  <c r="D19" i="20" s="1"/>
  <c r="AE19" i="22"/>
  <c r="C19" i="20" s="1"/>
  <c r="AD19" i="22"/>
  <c r="B19" i="20" s="1"/>
  <c r="AH18" i="22"/>
  <c r="F18" i="20" s="1"/>
  <c r="AF18" i="22"/>
  <c r="D18" i="20" s="1"/>
  <c r="AE18" i="22"/>
  <c r="C18" i="20" s="1"/>
  <c r="AD18" i="22"/>
  <c r="B18" i="20" s="1"/>
  <c r="AH17" i="22"/>
  <c r="F17" i="20" s="1"/>
  <c r="AF17" i="22"/>
  <c r="D17" i="20" s="1"/>
  <c r="AE17" i="22"/>
  <c r="C17" i="20" s="1"/>
  <c r="AD17" i="22"/>
  <c r="B17" i="20" s="1"/>
  <c r="AH16" i="22"/>
  <c r="F16" i="20" s="1"/>
  <c r="AF16" i="22"/>
  <c r="D16" i="20" s="1"/>
  <c r="AE16" i="22"/>
  <c r="C16" i="20" s="1"/>
  <c r="AD16" i="22"/>
  <c r="B16" i="20" s="1"/>
  <c r="AH15" i="22"/>
  <c r="F15" i="20" s="1"/>
  <c r="AF15" i="22"/>
  <c r="D15" i="20" s="1"/>
  <c r="AE15" i="22"/>
  <c r="C15" i="20" s="1"/>
  <c r="AD15" i="22"/>
  <c r="B15" i="20" s="1"/>
  <c r="AH14" i="22"/>
  <c r="F14" i="20" s="1"/>
  <c r="AF14" i="22"/>
  <c r="D14" i="20" s="1"/>
  <c r="AE14" i="22"/>
  <c r="C14" i="20" s="1"/>
  <c r="AD14" i="22"/>
  <c r="B14" i="20" s="1"/>
  <c r="AH13" i="22"/>
  <c r="F13" i="20" s="1"/>
  <c r="AF13" i="22"/>
  <c r="D13" i="20" s="1"/>
  <c r="AE13" i="22"/>
  <c r="C13" i="20" s="1"/>
  <c r="AD13" i="22"/>
  <c r="B13" i="20" s="1"/>
  <c r="AH12" i="22"/>
  <c r="F12" i="20" s="1"/>
  <c r="AF12" i="22"/>
  <c r="D12" i="20" s="1"/>
  <c r="AE12" i="22"/>
  <c r="C12" i="20" s="1"/>
  <c r="AD12" i="22"/>
  <c r="B12" i="20" s="1"/>
  <c r="AH11" i="22"/>
  <c r="F11" i="20" s="1"/>
  <c r="AF11" i="22"/>
  <c r="D11" i="20" s="1"/>
  <c r="AE11" i="22"/>
  <c r="C11" i="20" s="1"/>
  <c r="AD11" i="22"/>
  <c r="B11" i="20" s="1"/>
  <c r="AH10" i="22"/>
  <c r="F10" i="20" s="1"/>
  <c r="AF10" i="22"/>
  <c r="D10" i="20" s="1"/>
  <c r="AE10" i="22"/>
  <c r="C10" i="20" s="1"/>
  <c r="AD10" i="22"/>
  <c r="B10" i="20" s="1"/>
  <c r="AH9" i="22"/>
  <c r="F9" i="20" s="1"/>
  <c r="AF9" i="22"/>
  <c r="D9" i="20" s="1"/>
  <c r="AE9" i="22"/>
  <c r="C9" i="20" s="1"/>
  <c r="AD9" i="22"/>
  <c r="B9" i="20" s="1"/>
  <c r="AH8" i="22"/>
  <c r="F8" i="20" s="1"/>
  <c r="E9" l="1"/>
  <c r="E10"/>
  <c r="E11"/>
  <c r="E12"/>
  <c r="E13"/>
  <c r="E14"/>
  <c r="E15"/>
  <c r="E16"/>
  <c r="G9"/>
  <c r="G10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G11"/>
  <c r="G12"/>
  <c r="E38" i="23"/>
  <c r="G38"/>
  <c r="G13" i="20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F38"/>
  <c r="AG9" i="22"/>
  <c r="AI10"/>
  <c r="AI13"/>
  <c r="AI16"/>
  <c r="AI21"/>
  <c r="AI24"/>
  <c r="AI27"/>
  <c r="AI31"/>
  <c r="AI37"/>
  <c r="AI11"/>
  <c r="AI14"/>
  <c r="AI17"/>
  <c r="AI19"/>
  <c r="AI23"/>
  <c r="AI26"/>
  <c r="AI29"/>
  <c r="AI30"/>
  <c r="AI32"/>
  <c r="AI33"/>
  <c r="AI34"/>
  <c r="AI36"/>
  <c r="AI9"/>
  <c r="AI12"/>
  <c r="AI15"/>
  <c r="AI18"/>
  <c r="AI20"/>
  <c r="AI22"/>
  <c r="AI25"/>
  <c r="AI28"/>
  <c r="AI35"/>
  <c r="AG22"/>
  <c r="AG18"/>
  <c r="AG34"/>
  <c r="AG14"/>
  <c r="AG10"/>
  <c r="AG26"/>
  <c r="AG13"/>
  <c r="AG21"/>
  <c r="AG29"/>
  <c r="AG17"/>
  <c r="AG25"/>
  <c r="AG33"/>
  <c r="AG30"/>
  <c r="AG37"/>
  <c r="AG12"/>
  <c r="AG16"/>
  <c r="AG20"/>
  <c r="AG24"/>
  <c r="AG28"/>
  <c r="AG32"/>
  <c r="AG36"/>
  <c r="AG11"/>
  <c r="AG15"/>
  <c r="AG19"/>
  <c r="AG23"/>
  <c r="AG27"/>
  <c r="AG31"/>
  <c r="AG35"/>
  <c r="AF8"/>
  <c r="D8" i="20" s="1"/>
  <c r="AE8" i="22"/>
  <c r="C8" i="20" s="1"/>
  <c r="C38" s="1"/>
  <c r="AD8" i="22"/>
  <c r="B8" i="20" s="1"/>
  <c r="B38" s="1"/>
  <c r="G8" l="1"/>
  <c r="G38"/>
  <c r="E8"/>
  <c r="D38"/>
  <c r="E38" s="1"/>
  <c r="AI8" i="22"/>
  <c r="AG8"/>
  <c r="S65" i="12"/>
  <c r="Q65"/>
  <c r="S64"/>
  <c r="Q64"/>
  <c r="S59" l="1"/>
  <c r="I59"/>
  <c r="H59"/>
  <c r="G59"/>
  <c r="F59"/>
  <c r="E59"/>
  <c r="D59"/>
  <c r="I58"/>
  <c r="H58"/>
  <c r="G58"/>
  <c r="F58"/>
  <c r="D58"/>
  <c r="I57"/>
  <c r="H57"/>
  <c r="G57"/>
  <c r="F57"/>
  <c r="E57"/>
  <c r="D57"/>
  <c r="Q58" l="1"/>
  <c r="S57"/>
  <c r="Q57"/>
  <c r="S58"/>
  <c r="Q59"/>
  <c r="S56"/>
  <c r="I56"/>
  <c r="H56"/>
  <c r="G56"/>
  <c r="F56"/>
  <c r="E56"/>
  <c r="D56"/>
  <c r="S55"/>
  <c r="Q55"/>
  <c r="S54"/>
  <c r="Q54"/>
  <c r="I53"/>
  <c r="H53"/>
  <c r="G53"/>
  <c r="F53"/>
  <c r="E53"/>
  <c r="D53"/>
  <c r="I52"/>
  <c r="H52"/>
  <c r="G52"/>
  <c r="F52"/>
  <c r="E52"/>
  <c r="D52"/>
  <c r="S51"/>
  <c r="Q51"/>
  <c r="S50"/>
  <c r="Q50"/>
  <c r="S49"/>
  <c r="Q49"/>
  <c r="S48"/>
  <c r="Q48"/>
  <c r="S47"/>
  <c r="Q47"/>
  <c r="S46"/>
  <c r="Q46"/>
  <c r="I45"/>
  <c r="H45"/>
  <c r="G45"/>
  <c r="F45"/>
  <c r="E45"/>
  <c r="D45"/>
  <c r="I44"/>
  <c r="H44"/>
  <c r="G44"/>
  <c r="F44"/>
  <c r="E44"/>
  <c r="D44"/>
  <c r="S43"/>
  <c r="Q43"/>
  <c r="S42"/>
  <c r="Q42"/>
  <c r="S41"/>
  <c r="Q41"/>
  <c r="S40"/>
  <c r="Q40"/>
  <c r="S39"/>
  <c r="Q39"/>
  <c r="S38"/>
  <c r="Q38"/>
  <c r="I37"/>
  <c r="H37"/>
  <c r="G37"/>
  <c r="F37"/>
  <c r="E37"/>
  <c r="D37"/>
  <c r="I36"/>
  <c r="H36"/>
  <c r="G36"/>
  <c r="F36"/>
  <c r="E36"/>
  <c r="D36"/>
  <c r="S35"/>
  <c r="Q35"/>
  <c r="S34"/>
  <c r="Q34"/>
  <c r="S33"/>
  <c r="Q33"/>
  <c r="S32"/>
  <c r="Q32"/>
  <c r="S31"/>
  <c r="Q31"/>
  <c r="S30"/>
  <c r="Q30"/>
  <c r="I29"/>
  <c r="H29"/>
  <c r="G29"/>
  <c r="F29"/>
  <c r="E29"/>
  <c r="D29"/>
  <c r="S29" l="1"/>
  <c r="S37"/>
  <c r="S45"/>
  <c r="S53"/>
  <c r="Q29"/>
  <c r="Q37"/>
  <c r="Q45"/>
  <c r="Q53"/>
  <c r="Q52"/>
  <c r="Q36"/>
  <c r="Q44"/>
  <c r="S36"/>
  <c r="S44"/>
  <c r="S52"/>
  <c r="Q56"/>
  <c r="I28"/>
  <c r="H28"/>
  <c r="G28"/>
  <c r="F28"/>
  <c r="E28"/>
  <c r="D28"/>
  <c r="S27"/>
  <c r="Q27"/>
  <c r="S26"/>
  <c r="Q26"/>
  <c r="S25"/>
  <c r="Q25"/>
  <c r="S24"/>
  <c r="Q24"/>
  <c r="S23"/>
  <c r="Q23"/>
  <c r="S22"/>
  <c r="Q22"/>
  <c r="I21"/>
  <c r="H21"/>
  <c r="G21"/>
  <c r="F21"/>
  <c r="E21"/>
  <c r="D21"/>
  <c r="I20"/>
  <c r="H20"/>
  <c r="G20"/>
  <c r="F20"/>
  <c r="D20"/>
  <c r="S19"/>
  <c r="Q19"/>
  <c r="S18"/>
  <c r="Q18"/>
  <c r="E18"/>
  <c r="E58" s="1"/>
  <c r="S17"/>
  <c r="Q17"/>
  <c r="S16"/>
  <c r="Q16"/>
  <c r="S15"/>
  <c r="Q15"/>
  <c r="S14"/>
  <c r="Q14"/>
  <c r="I13"/>
  <c r="I61" s="1"/>
  <c r="I63" s="1"/>
  <c r="H13"/>
  <c r="G13"/>
  <c r="G61" s="1"/>
  <c r="F13"/>
  <c r="E13"/>
  <c r="D13"/>
  <c r="I12"/>
  <c r="I60" s="1"/>
  <c r="I62" s="1"/>
  <c r="H12"/>
  <c r="H60" s="1"/>
  <c r="H62" s="1"/>
  <c r="G12"/>
  <c r="G60" s="1"/>
  <c r="F12"/>
  <c r="E12"/>
  <c r="D12"/>
  <c r="S11"/>
  <c r="Q11"/>
  <c r="S10"/>
  <c r="Q10"/>
  <c r="S9"/>
  <c r="Q9"/>
  <c r="S8"/>
  <c r="Q8"/>
  <c r="K106" i="2"/>
  <c r="J106"/>
  <c r="G106"/>
  <c r="F106"/>
  <c r="E106"/>
  <c r="K105"/>
  <c r="J105"/>
  <c r="G105"/>
  <c r="F105"/>
  <c r="E105"/>
  <c r="G104"/>
  <c r="F104"/>
  <c r="E104"/>
  <c r="L103"/>
  <c r="L102"/>
  <c r="G101"/>
  <c r="F101"/>
  <c r="E101"/>
  <c r="L100"/>
  <c r="L99"/>
  <c r="G97"/>
  <c r="F97"/>
  <c r="E97"/>
  <c r="G96"/>
  <c r="F96"/>
  <c r="E96"/>
  <c r="G95"/>
  <c r="F95"/>
  <c r="E95"/>
  <c r="L94"/>
  <c r="L93"/>
  <c r="G92"/>
  <c r="F92"/>
  <c r="E92"/>
  <c r="L91"/>
  <c r="L90"/>
  <c r="G88"/>
  <c r="F88"/>
  <c r="E88"/>
  <c r="G87"/>
  <c r="F87"/>
  <c r="E87"/>
  <c r="G86"/>
  <c r="F86"/>
  <c r="E86"/>
  <c r="L85"/>
  <c r="L84"/>
  <c r="G83"/>
  <c r="F83"/>
  <c r="E83"/>
  <c r="L82"/>
  <c r="L81"/>
  <c r="G79"/>
  <c r="F79"/>
  <c r="E79"/>
  <c r="G78"/>
  <c r="F78"/>
  <c r="E78"/>
  <c r="G77"/>
  <c r="F77"/>
  <c r="E77"/>
  <c r="L76"/>
  <c r="L75"/>
  <c r="L74"/>
  <c r="G74"/>
  <c r="F74"/>
  <c r="E74"/>
  <c r="L73"/>
  <c r="L72"/>
  <c r="S28" i="12" l="1"/>
  <c r="Q20"/>
  <c r="Q28"/>
  <c r="L78" i="2"/>
  <c r="L101"/>
  <c r="L105"/>
  <c r="L79"/>
  <c r="E98"/>
  <c r="L86"/>
  <c r="L104"/>
  <c r="F60" i="12"/>
  <c r="S20"/>
  <c r="Q13"/>
  <c r="S60"/>
  <c r="S21"/>
  <c r="Q12"/>
  <c r="Q21"/>
  <c r="K107" i="2"/>
  <c r="L87"/>
  <c r="L92"/>
  <c r="L96"/>
  <c r="L97"/>
  <c r="L106"/>
  <c r="G89"/>
  <c r="F89" s="1"/>
  <c r="E89" s="1"/>
  <c r="F80"/>
  <c r="E80"/>
  <c r="J107"/>
  <c r="L77"/>
  <c r="L83"/>
  <c r="L88"/>
  <c r="L95"/>
  <c r="S13" i="12"/>
  <c r="G80" i="2"/>
  <c r="L98"/>
  <c r="H61" i="12"/>
  <c r="H63" s="1"/>
  <c r="E20"/>
  <c r="F61"/>
  <c r="E61" s="1"/>
  <c r="D61" s="1"/>
  <c r="G63"/>
  <c r="S12"/>
  <c r="E60"/>
  <c r="D60" s="1"/>
  <c r="G62"/>
  <c r="G98" i="2"/>
  <c r="F98" s="1"/>
  <c r="G107"/>
  <c r="F107" s="1"/>
  <c r="E107" s="1"/>
  <c r="G70"/>
  <c r="F70"/>
  <c r="E70"/>
  <c r="G69"/>
  <c r="F69"/>
  <c r="E69"/>
  <c r="L69" l="1"/>
  <c r="F62" i="12"/>
  <c r="L107" i="2"/>
  <c r="L89"/>
  <c r="F63" i="12"/>
  <c r="E63" s="1"/>
  <c r="D63" s="1"/>
  <c r="E71" i="2"/>
  <c r="G71"/>
  <c r="F71"/>
  <c r="L70"/>
  <c r="L80"/>
  <c r="E62" i="12"/>
  <c r="D62" s="1"/>
  <c r="G68" i="2"/>
  <c r="F68"/>
  <c r="E68"/>
  <c r="L67"/>
  <c r="L66"/>
  <c r="G65"/>
  <c r="F65"/>
  <c r="E65"/>
  <c r="L64"/>
  <c r="L63"/>
  <c r="L68" l="1"/>
  <c r="L71"/>
  <c r="L65"/>
  <c r="G59"/>
  <c r="F59"/>
  <c r="E59"/>
  <c r="L58"/>
  <c r="L57"/>
  <c r="G56"/>
  <c r="F56"/>
  <c r="E56"/>
  <c r="L55"/>
  <c r="L54"/>
  <c r="G53"/>
  <c r="F53"/>
  <c r="E53"/>
  <c r="L52"/>
  <c r="L51"/>
  <c r="G50"/>
  <c r="F50"/>
  <c r="E50"/>
  <c r="L49"/>
  <c r="L48"/>
  <c r="G47"/>
  <c r="F47"/>
  <c r="E47"/>
  <c r="L46"/>
  <c r="L45"/>
  <c r="L44"/>
  <c r="G44"/>
  <c r="F44"/>
  <c r="E44"/>
  <c r="L43"/>
  <c r="L42"/>
  <c r="M40"/>
  <c r="G40"/>
  <c r="F40"/>
  <c r="E40"/>
  <c r="G39"/>
  <c r="G60" s="1"/>
  <c r="F39"/>
  <c r="F60" s="1"/>
  <c r="E39"/>
  <c r="E60" s="1"/>
  <c r="G38"/>
  <c r="F38"/>
  <c r="E38"/>
  <c r="L37"/>
  <c r="L36"/>
  <c r="G35"/>
  <c r="F35"/>
  <c r="E35"/>
  <c r="L34"/>
  <c r="L33"/>
  <c r="L47" l="1"/>
  <c r="L50"/>
  <c r="L35"/>
  <c r="L39"/>
  <c r="N39"/>
  <c r="M39"/>
  <c r="M60" s="1"/>
  <c r="N40"/>
  <c r="M61"/>
  <c r="L56"/>
  <c r="L38"/>
  <c r="G41"/>
  <c r="L53"/>
  <c r="L59"/>
  <c r="E41"/>
  <c r="L40"/>
  <c r="F41"/>
  <c r="G29"/>
  <c r="F29"/>
  <c r="E29"/>
  <c r="L28"/>
  <c r="L27"/>
  <c r="G26"/>
  <c r="F26"/>
  <c r="E26"/>
  <c r="L25"/>
  <c r="L24"/>
  <c r="G23"/>
  <c r="F23"/>
  <c r="E23"/>
  <c r="L22"/>
  <c r="L21"/>
  <c r="L20"/>
  <c r="G20"/>
  <c r="F20"/>
  <c r="E20"/>
  <c r="L19"/>
  <c r="L18"/>
  <c r="G17"/>
  <c r="F17"/>
  <c r="E17"/>
  <c r="L16"/>
  <c r="L15"/>
  <c r="G14"/>
  <c r="F14"/>
  <c r="E14"/>
  <c r="L13"/>
  <c r="L12"/>
  <c r="M41" l="1"/>
  <c r="L29"/>
  <c r="L23"/>
  <c r="L41"/>
  <c r="L61"/>
  <c r="L14"/>
  <c r="M62"/>
  <c r="L60"/>
  <c r="O39"/>
  <c r="N60"/>
  <c r="O60" s="1"/>
  <c r="N61"/>
  <c r="N41"/>
  <c r="O40"/>
  <c r="L17"/>
  <c r="L26"/>
  <c r="G61"/>
  <c r="M10"/>
  <c r="M31" s="1"/>
  <c r="G10"/>
  <c r="F10"/>
  <c r="E10"/>
  <c r="E31" s="1"/>
  <c r="G9"/>
  <c r="F9"/>
  <c r="F30" s="1"/>
  <c r="E9"/>
  <c r="G8"/>
  <c r="F8"/>
  <c r="E8"/>
  <c r="L7"/>
  <c r="L6"/>
  <c r="O41" l="1"/>
  <c r="N9"/>
  <c r="M9"/>
  <c r="L10"/>
  <c r="N10"/>
  <c r="O61"/>
  <c r="N62"/>
  <c r="O62" s="1"/>
  <c r="L8"/>
  <c r="E30"/>
  <c r="L9"/>
  <c r="F61"/>
  <c r="E61" s="1"/>
  <c r="G62"/>
  <c r="G31"/>
  <c r="G11"/>
  <c r="F31"/>
  <c r="F32" s="1"/>
  <c r="F11"/>
  <c r="E11" s="1"/>
  <c r="G30"/>
  <c r="L30" l="1"/>
  <c r="N31"/>
  <c r="N11"/>
  <c r="O10"/>
  <c r="O9"/>
  <c r="N30"/>
  <c r="M11"/>
  <c r="M30"/>
  <c r="M32" s="1"/>
  <c r="E32"/>
  <c r="F62"/>
  <c r="E62" s="1"/>
  <c r="L11"/>
  <c r="G32"/>
  <c r="L31"/>
  <c r="O30" l="1"/>
  <c r="O31"/>
  <c r="N32"/>
  <c r="O32" s="1"/>
  <c r="O11"/>
  <c r="L32"/>
  <c r="C58" i="13" l="1"/>
  <c r="C57"/>
  <c r="I55"/>
  <c r="L55" s="1"/>
  <c r="H55"/>
  <c r="K55" s="1"/>
  <c r="F55"/>
  <c r="E55"/>
  <c r="D55"/>
  <c r="I54"/>
  <c r="L54" s="1"/>
  <c r="H54"/>
  <c r="K54" s="1"/>
  <c r="F54"/>
  <c r="E54"/>
  <c r="D54"/>
  <c r="I52"/>
  <c r="L52" s="1"/>
  <c r="H52"/>
  <c r="K52" s="1"/>
  <c r="F52"/>
  <c r="E52"/>
  <c r="D52"/>
  <c r="I51"/>
  <c r="L51" s="1"/>
  <c r="H51"/>
  <c r="K51" s="1"/>
  <c r="F51"/>
  <c r="E51"/>
  <c r="D51"/>
  <c r="E53" l="1"/>
  <c r="J52"/>
  <c r="K53"/>
  <c r="M51"/>
  <c r="L53"/>
  <c r="M52"/>
  <c r="L56"/>
  <c r="M55"/>
  <c r="M54"/>
  <c r="K56"/>
  <c r="J51"/>
  <c r="J54"/>
  <c r="F56"/>
  <c r="E56" s="1"/>
  <c r="C59"/>
  <c r="D53"/>
  <c r="I53"/>
  <c r="D56"/>
  <c r="F53"/>
  <c r="H56"/>
  <c r="H53"/>
  <c r="J55"/>
  <c r="I49"/>
  <c r="L49" s="1"/>
  <c r="H49"/>
  <c r="K49" s="1"/>
  <c r="F49"/>
  <c r="E49"/>
  <c r="D49"/>
  <c r="I48"/>
  <c r="L48" s="1"/>
  <c r="H48"/>
  <c r="K48" s="1"/>
  <c r="F48"/>
  <c r="E48"/>
  <c r="D48"/>
  <c r="J53" l="1"/>
  <c r="M48"/>
  <c r="K50"/>
  <c r="M53"/>
  <c r="L50"/>
  <c r="M49"/>
  <c r="M56"/>
  <c r="J49"/>
  <c r="J48"/>
  <c r="F50"/>
  <c r="D50"/>
  <c r="E50"/>
  <c r="H50"/>
  <c r="I50"/>
  <c r="I46"/>
  <c r="L46" s="1"/>
  <c r="H46"/>
  <c r="K46" s="1"/>
  <c r="F46"/>
  <c r="E46"/>
  <c r="D46"/>
  <c r="I45"/>
  <c r="L45" s="1"/>
  <c r="H45"/>
  <c r="K45" s="1"/>
  <c r="F45"/>
  <c r="E45"/>
  <c r="D45"/>
  <c r="I43"/>
  <c r="L43" s="1"/>
  <c r="H43"/>
  <c r="F43"/>
  <c r="E43"/>
  <c r="D43"/>
  <c r="I42"/>
  <c r="L42" s="1"/>
  <c r="H42"/>
  <c r="K42" s="1"/>
  <c r="F42"/>
  <c r="E42"/>
  <c r="D42"/>
  <c r="M50" l="1"/>
  <c r="M45"/>
  <c r="K47"/>
  <c r="L44"/>
  <c r="L47"/>
  <c r="M46"/>
  <c r="J43"/>
  <c r="K43"/>
  <c r="K44" s="1"/>
  <c r="M42"/>
  <c r="J45"/>
  <c r="F47"/>
  <c r="J50"/>
  <c r="D47"/>
  <c r="J46"/>
  <c r="J42"/>
  <c r="E47"/>
  <c r="H47"/>
  <c r="F44"/>
  <c r="E44" s="1"/>
  <c r="D44" s="1"/>
  <c r="I47"/>
  <c r="I40"/>
  <c r="L40" s="1"/>
  <c r="H40"/>
  <c r="K40" s="1"/>
  <c r="F40"/>
  <c r="E40"/>
  <c r="D40"/>
  <c r="I39"/>
  <c r="L39" s="1"/>
  <c r="H39"/>
  <c r="K39" s="1"/>
  <c r="F39"/>
  <c r="E39"/>
  <c r="D39"/>
  <c r="I37"/>
  <c r="L37" s="1"/>
  <c r="H37"/>
  <c r="F37"/>
  <c r="E37"/>
  <c r="D37"/>
  <c r="I36"/>
  <c r="L36" s="1"/>
  <c r="H36"/>
  <c r="K36" s="1"/>
  <c r="F36"/>
  <c r="E36"/>
  <c r="D36"/>
  <c r="M39" l="1"/>
  <c r="K41"/>
  <c r="M44"/>
  <c r="M36"/>
  <c r="M47"/>
  <c r="L41"/>
  <c r="M41" s="1"/>
  <c r="M40"/>
  <c r="M43"/>
  <c r="L38"/>
  <c r="H58"/>
  <c r="K58" s="1"/>
  <c r="K37"/>
  <c r="K38" s="1"/>
  <c r="E57"/>
  <c r="J36"/>
  <c r="E41"/>
  <c r="J40"/>
  <c r="I57"/>
  <c r="L57" s="1"/>
  <c r="D41"/>
  <c r="I41"/>
  <c r="J39"/>
  <c r="J47"/>
  <c r="F58"/>
  <c r="F41"/>
  <c r="D57"/>
  <c r="D38"/>
  <c r="H57"/>
  <c r="K57" s="1"/>
  <c r="J37"/>
  <c r="H41"/>
  <c r="E38"/>
  <c r="I38"/>
  <c r="E58"/>
  <c r="H38"/>
  <c r="F57"/>
  <c r="D58"/>
  <c r="F38"/>
  <c r="E59" l="1"/>
  <c r="M37"/>
  <c r="K59"/>
  <c r="M57"/>
  <c r="M38"/>
  <c r="J41"/>
  <c r="J57"/>
  <c r="F59"/>
  <c r="H59"/>
  <c r="J38"/>
  <c r="D59"/>
  <c r="C28" l="1"/>
  <c r="C27" l="1"/>
  <c r="I25"/>
  <c r="L25" s="1"/>
  <c r="H25"/>
  <c r="K25" s="1"/>
  <c r="F25"/>
  <c r="E25"/>
  <c r="D25"/>
  <c r="M25" l="1"/>
  <c r="J25"/>
  <c r="I24"/>
  <c r="H24"/>
  <c r="K24" s="1"/>
  <c r="K26" s="1"/>
  <c r="F24"/>
  <c r="F26" s="1"/>
  <c r="E24"/>
  <c r="E26" s="1"/>
  <c r="D24"/>
  <c r="D26" s="1"/>
  <c r="I26" l="1"/>
  <c r="L24"/>
  <c r="J24"/>
  <c r="H26"/>
  <c r="I22"/>
  <c r="L22" s="1"/>
  <c r="H22"/>
  <c r="K22" s="1"/>
  <c r="F22"/>
  <c r="E22"/>
  <c r="D22"/>
  <c r="I21"/>
  <c r="L21" s="1"/>
  <c r="H21"/>
  <c r="K21" s="1"/>
  <c r="F21"/>
  <c r="E21"/>
  <c r="D21"/>
  <c r="M21" l="1"/>
  <c r="K23"/>
  <c r="L23"/>
  <c r="M22"/>
  <c r="M24"/>
  <c r="L26"/>
  <c r="M26" s="1"/>
  <c r="E23"/>
  <c r="J26"/>
  <c r="J22"/>
  <c r="J21"/>
  <c r="F23"/>
  <c r="D23"/>
  <c r="I23"/>
  <c r="H23"/>
  <c r="I19"/>
  <c r="L19" s="1"/>
  <c r="H19"/>
  <c r="K19" s="1"/>
  <c r="F19"/>
  <c r="E19"/>
  <c r="D19"/>
  <c r="I18"/>
  <c r="L18" s="1"/>
  <c r="H18"/>
  <c r="K18" s="1"/>
  <c r="F18"/>
  <c r="E18"/>
  <c r="D18"/>
  <c r="M18" l="1"/>
  <c r="M23"/>
  <c r="L20"/>
  <c r="M19"/>
  <c r="K20"/>
  <c r="F20"/>
  <c r="J23"/>
  <c r="J18"/>
  <c r="H20"/>
  <c r="E20"/>
  <c r="J19"/>
  <c r="D20"/>
  <c r="I20"/>
  <c r="I16"/>
  <c r="L16" s="1"/>
  <c r="H16"/>
  <c r="K16" s="1"/>
  <c r="F16"/>
  <c r="E16"/>
  <c r="D16"/>
  <c r="M20" l="1"/>
  <c r="M16"/>
  <c r="J16"/>
  <c r="J20"/>
  <c r="I15"/>
  <c r="H15"/>
  <c r="K15" s="1"/>
  <c r="K17" s="1"/>
  <c r="F15"/>
  <c r="F17" s="1"/>
  <c r="E15"/>
  <c r="E17" s="1"/>
  <c r="D15"/>
  <c r="I17" l="1"/>
  <c r="L15"/>
  <c r="J15"/>
  <c r="D17"/>
  <c r="H17"/>
  <c r="I13"/>
  <c r="L13" s="1"/>
  <c r="H13"/>
  <c r="K13" s="1"/>
  <c r="F13"/>
  <c r="E13"/>
  <c r="D13"/>
  <c r="I12"/>
  <c r="L12" s="1"/>
  <c r="H12"/>
  <c r="K12" s="1"/>
  <c r="F12"/>
  <c r="E12"/>
  <c r="D12"/>
  <c r="I10"/>
  <c r="L10" s="1"/>
  <c r="H10"/>
  <c r="K10" s="1"/>
  <c r="F10"/>
  <c r="E10"/>
  <c r="D10"/>
  <c r="I9"/>
  <c r="L9" s="1"/>
  <c r="H9"/>
  <c r="K9" s="1"/>
  <c r="F9"/>
  <c r="E9"/>
  <c r="D9"/>
  <c r="I7"/>
  <c r="L7" s="1"/>
  <c r="H7"/>
  <c r="K7" s="1"/>
  <c r="F7"/>
  <c r="E7"/>
  <c r="D7"/>
  <c r="I6"/>
  <c r="L6" s="1"/>
  <c r="H6"/>
  <c r="K6" s="1"/>
  <c r="F6"/>
  <c r="E6"/>
  <c r="D6"/>
  <c r="M9" l="1"/>
  <c r="J17"/>
  <c r="K11"/>
  <c r="M10"/>
  <c r="L11"/>
  <c r="M7"/>
  <c r="L8"/>
  <c r="L14"/>
  <c r="M13"/>
  <c r="M15"/>
  <c r="L17"/>
  <c r="M17" s="1"/>
  <c r="M6"/>
  <c r="K8"/>
  <c r="M12"/>
  <c r="K14"/>
  <c r="E11"/>
  <c r="D11"/>
  <c r="J9"/>
  <c r="J6"/>
  <c r="J10"/>
  <c r="I14"/>
  <c r="F11"/>
  <c r="F27"/>
  <c r="D28"/>
  <c r="I28"/>
  <c r="E27"/>
  <c r="H28"/>
  <c r="J12"/>
  <c r="H11"/>
  <c r="J13"/>
  <c r="F28"/>
  <c r="D8"/>
  <c r="I8"/>
  <c r="F8"/>
  <c r="I11"/>
  <c r="E8"/>
  <c r="H14"/>
  <c r="J14" s="1"/>
  <c r="D27"/>
  <c r="I27"/>
  <c r="L27" s="1"/>
  <c r="H27"/>
  <c r="K27" s="1"/>
  <c r="J7"/>
  <c r="H8"/>
  <c r="F14"/>
  <c r="E14" s="1"/>
  <c r="D14" s="1"/>
  <c r="K28" l="1"/>
  <c r="L28"/>
  <c r="L29" s="1"/>
  <c r="M11"/>
  <c r="M14"/>
  <c r="M27"/>
  <c r="M8"/>
  <c r="H29"/>
  <c r="J28"/>
  <c r="J27"/>
  <c r="J11"/>
  <c r="J8"/>
  <c r="E28"/>
  <c r="E29" s="1"/>
  <c r="D29" s="1"/>
  <c r="C29" s="1"/>
  <c r="F29"/>
  <c r="I29"/>
  <c r="I44"/>
  <c r="H44"/>
  <c r="I58"/>
  <c r="I56"/>
  <c r="J56" s="1"/>
  <c r="AD38" i="22"/>
  <c r="AF38"/>
  <c r="AE38"/>
  <c r="K29" i="13" l="1"/>
  <c r="M29" s="1"/>
  <c r="M28"/>
  <c r="J58"/>
  <c r="L58"/>
  <c r="J29"/>
  <c r="J44"/>
  <c r="I59"/>
  <c r="J59" s="1"/>
  <c r="AG38" i="22"/>
  <c r="AF38" i="24"/>
  <c r="AG38" s="1"/>
  <c r="AE38"/>
  <c r="AH38"/>
  <c r="AH38" i="22"/>
  <c r="AI38" s="1"/>
  <c r="M58" i="13" l="1"/>
  <c r="L59"/>
  <c r="M59" s="1"/>
  <c r="AI38" i="24"/>
  <c r="Q61" i="12"/>
  <c r="S61"/>
  <c r="S62" l="1"/>
  <c r="L62" i="2"/>
  <c r="S63" i="12"/>
  <c r="Q60"/>
  <c r="Q62"/>
  <c r="Q63" l="1"/>
  <c r="P31" i="9"/>
  <c r="K31" l="1"/>
  <c r="M31" s="1"/>
  <c r="P220" i="7"/>
  <c r="V49" i="9"/>
  <c r="W49"/>
  <c r="Y49" s="1"/>
  <c r="T48"/>
  <c r="Q49"/>
  <c r="Q48" s="1"/>
  <c r="S49" l="1"/>
  <c r="W48"/>
  <c r="AH32" l="1"/>
  <c r="AC32"/>
  <c r="AC31" s="1"/>
  <c r="AE31" s="1"/>
  <c r="AF31"/>
  <c r="AH31" s="1"/>
  <c r="AE32" l="1"/>
</calcChain>
</file>

<file path=xl/sharedStrings.xml><?xml version="1.0" encoding="utf-8"?>
<sst xmlns="http://schemas.openxmlformats.org/spreadsheetml/2006/main" count="4037" uniqueCount="622">
  <si>
    <t>(단위 : 톤, 천불, %)</t>
  </si>
  <si>
    <t>구                분</t>
  </si>
  <si>
    <t>2016년</t>
  </si>
  <si>
    <t>2017년</t>
  </si>
  <si>
    <t>1월</t>
    <phoneticPr fontId="4" type="noConversion"/>
  </si>
  <si>
    <t>동기비</t>
  </si>
  <si>
    <t>구리
(74류)</t>
    <phoneticPr fontId="4" type="noConversion"/>
  </si>
  <si>
    <t>전기동</t>
  </si>
  <si>
    <t>금액</t>
    <phoneticPr fontId="4" type="noConversion"/>
  </si>
  <si>
    <t>단가</t>
    <phoneticPr fontId="4" type="noConversion"/>
  </si>
  <si>
    <t>반제품</t>
  </si>
  <si>
    <t>스크랩</t>
  </si>
  <si>
    <t xml:space="preserve"> </t>
  </si>
  <si>
    <t>봉</t>
  </si>
  <si>
    <t>선</t>
  </si>
  <si>
    <t>판</t>
  </si>
  <si>
    <t>박</t>
  </si>
  <si>
    <t>관</t>
  </si>
  <si>
    <t>기타</t>
  </si>
  <si>
    <t>소계</t>
  </si>
  <si>
    <t>알루미늄
(76류)</t>
    <phoneticPr fontId="4" type="noConversion"/>
  </si>
  <si>
    <t>순괴</t>
  </si>
  <si>
    <t>합금괴</t>
  </si>
  <si>
    <t>건축재</t>
  </si>
  <si>
    <t>가  정
용  품</t>
    <phoneticPr fontId="4" type="noConversion"/>
  </si>
  <si>
    <t>아연
(79류)</t>
    <phoneticPr fontId="4" type="noConversion"/>
  </si>
  <si>
    <t>괴</t>
  </si>
  <si>
    <t>납
(78류)</t>
    <phoneticPr fontId="4" type="noConversion"/>
  </si>
  <si>
    <t>니켈
(75류)</t>
    <phoneticPr fontId="4" type="noConversion"/>
  </si>
  <si>
    <t>주석
(80류)</t>
    <phoneticPr fontId="4" type="noConversion"/>
  </si>
  <si>
    <t>기타
(81류)</t>
    <phoneticPr fontId="4" type="noConversion"/>
  </si>
  <si>
    <t>금액</t>
  </si>
  <si>
    <t>합      계</t>
  </si>
  <si>
    <t>1월</t>
  </si>
  <si>
    <t>관</t>
    <phoneticPr fontId="4" type="noConversion"/>
  </si>
  <si>
    <t>합금괴</t>
    <phoneticPr fontId="4" type="noConversion"/>
  </si>
  <si>
    <t>국가명</t>
  </si>
  <si>
    <t>중 량</t>
  </si>
  <si>
    <t>금  액</t>
  </si>
  <si>
    <t>중  량</t>
  </si>
  <si>
    <t>중 량</t>
    <phoneticPr fontId="12" type="noConversion"/>
  </si>
  <si>
    <t>중  량</t>
    <phoneticPr fontId="12" type="noConversion"/>
  </si>
  <si>
    <t>전년대비</t>
  </si>
  <si>
    <t>중국</t>
  </si>
  <si>
    <t>베트남</t>
  </si>
  <si>
    <t>인도(인디아)</t>
  </si>
  <si>
    <t>미국</t>
  </si>
  <si>
    <t>일본</t>
  </si>
  <si>
    <t>태국</t>
  </si>
  <si>
    <t>말레이시아</t>
  </si>
  <si>
    <t>대만</t>
  </si>
  <si>
    <t>인도네시아</t>
  </si>
  <si>
    <t>필리핀</t>
  </si>
  <si>
    <t>홍콩</t>
  </si>
  <si>
    <t>호주</t>
  </si>
  <si>
    <t>방글라데시</t>
  </si>
  <si>
    <t>사우디아라비아</t>
  </si>
  <si>
    <t>아랍에미리트 연합</t>
  </si>
  <si>
    <t>멕시코</t>
  </si>
  <si>
    <t>싱가포르</t>
  </si>
  <si>
    <t>캄보디아</t>
  </si>
  <si>
    <t>독일</t>
  </si>
  <si>
    <t>네덜란드</t>
  </si>
  <si>
    <t>파키스탄</t>
  </si>
  <si>
    <t>영국</t>
  </si>
  <si>
    <t>캐나다</t>
  </si>
  <si>
    <t>이탈리아</t>
  </si>
  <si>
    <t>브라질</t>
  </si>
  <si>
    <t>터키</t>
  </si>
  <si>
    <t>프랑스</t>
  </si>
  <si>
    <t>스페인</t>
  </si>
  <si>
    <t>기타</t>
    <phoneticPr fontId="12" type="noConversion"/>
  </si>
  <si>
    <t>합         계</t>
  </si>
  <si>
    <r>
      <t>(</t>
    </r>
    <r>
      <rPr>
        <sz val="10"/>
        <rFont val="맑은 고딕"/>
        <family val="3"/>
        <charset val="129"/>
      </rPr>
      <t>단위</t>
    </r>
    <r>
      <rPr>
        <sz val="10"/>
        <rFont val="Times New Roman"/>
        <family val="1"/>
      </rPr>
      <t xml:space="preserve"> : </t>
    </r>
    <r>
      <rPr>
        <sz val="10"/>
        <rFont val="맑은 고딕"/>
        <family val="3"/>
        <charset val="129"/>
      </rPr>
      <t>톤</t>
    </r>
    <r>
      <rPr>
        <sz val="10"/>
        <rFont val="Times New Roman"/>
        <family val="1"/>
      </rPr>
      <t xml:space="preserve">, </t>
    </r>
    <r>
      <rPr>
        <sz val="10"/>
        <rFont val="맑은 고딕"/>
        <family val="3"/>
        <charset val="129"/>
      </rPr>
      <t>천불</t>
    </r>
    <r>
      <rPr>
        <sz val="10"/>
        <rFont val="Times New Roman"/>
        <family val="1"/>
      </rPr>
      <t>, %)</t>
    </r>
  </si>
  <si>
    <t>2017년</t>
    <phoneticPr fontId="4" type="noConversion"/>
  </si>
  <si>
    <t>기타</t>
    <phoneticPr fontId="4" type="noConversion"/>
  </si>
  <si>
    <t>2018년</t>
  </si>
  <si>
    <t>칠레</t>
  </si>
  <si>
    <t>콩고 민주공화국</t>
  </si>
  <si>
    <t>러시아</t>
  </si>
  <si>
    <t>카타르</t>
  </si>
  <si>
    <t>나이지리아</t>
  </si>
  <si>
    <t>남아프리카 공화국</t>
  </si>
  <si>
    <t>뉴질랜드</t>
  </si>
  <si>
    <t>바레인</t>
  </si>
  <si>
    <t>이스라엘</t>
  </si>
  <si>
    <t>① 전기동</t>
    <phoneticPr fontId="4" type="noConversion"/>
  </si>
  <si>
    <t>(톤, %)</t>
  </si>
  <si>
    <t>구     분</t>
  </si>
  <si>
    <t>중국</t>
    <phoneticPr fontId="4" type="noConversion"/>
  </si>
  <si>
    <t>수출</t>
    <phoneticPr fontId="4" type="noConversion"/>
  </si>
  <si>
    <t>베트남</t>
    <phoneticPr fontId="4" type="noConversion"/>
  </si>
  <si>
    <t>말레이시아</t>
    <phoneticPr fontId="4" type="noConversion"/>
  </si>
  <si>
    <t>대만</t>
    <phoneticPr fontId="4" type="noConversion"/>
  </si>
  <si>
    <t>태국</t>
    <phoneticPr fontId="4" type="noConversion"/>
  </si>
  <si>
    <t>방글라데시</t>
    <phoneticPr fontId="4" type="noConversion"/>
  </si>
  <si>
    <t>인도네시아</t>
    <phoneticPr fontId="4" type="noConversion"/>
  </si>
  <si>
    <t>이란</t>
    <phoneticPr fontId="4" type="noConversion"/>
  </si>
  <si>
    <t>홍콩</t>
    <phoneticPr fontId="4" type="noConversion"/>
  </si>
  <si>
    <t>싱가포르</t>
    <phoneticPr fontId="4" type="noConversion"/>
  </si>
  <si>
    <t>일본</t>
    <phoneticPr fontId="4" type="noConversion"/>
  </si>
  <si>
    <t>계</t>
  </si>
  <si>
    <t>칠레</t>
    <phoneticPr fontId="4" type="noConversion"/>
  </si>
  <si>
    <t>수입</t>
  </si>
  <si>
    <t>필리핀</t>
    <phoneticPr fontId="4" type="noConversion"/>
  </si>
  <si>
    <t>호주</t>
    <phoneticPr fontId="4" type="noConversion"/>
  </si>
  <si>
    <t>미국</t>
    <phoneticPr fontId="4" type="noConversion"/>
  </si>
  <si>
    <t>벨기에</t>
    <phoneticPr fontId="4" type="noConversion"/>
  </si>
  <si>
    <t>미얀마</t>
    <phoneticPr fontId="4" type="noConversion"/>
  </si>
  <si>
    <t>독일</t>
    <phoneticPr fontId="4" type="noConversion"/>
  </si>
  <si>
    <t>브라질</t>
    <phoneticPr fontId="4" type="noConversion"/>
  </si>
  <si>
    <t>주&gt; 수출입 : KOTIS 통계자료기준</t>
  </si>
  <si>
    <t>② 구리의 봉</t>
    <phoneticPr fontId="4" type="noConversion"/>
  </si>
  <si>
    <t>(7407)</t>
    <phoneticPr fontId="4" type="noConversion"/>
  </si>
  <si>
    <t>수출</t>
  </si>
  <si>
    <t>네덜란드</t>
    <phoneticPr fontId="4" type="noConversion"/>
  </si>
  <si>
    <t>인도(인디아)</t>
    <phoneticPr fontId="4" type="noConversion"/>
  </si>
  <si>
    <t>뉴질랜드</t>
    <phoneticPr fontId="4" type="noConversion"/>
  </si>
  <si>
    <t>이탈리아</t>
    <phoneticPr fontId="4" type="noConversion"/>
  </si>
  <si>
    <t>스페인</t>
    <phoneticPr fontId="4" type="noConversion"/>
  </si>
  <si>
    <t>프랑스</t>
    <phoneticPr fontId="4" type="noConversion"/>
  </si>
  <si>
    <t>그리스</t>
    <phoneticPr fontId="4" type="noConversion"/>
  </si>
  <si>
    <t>영국</t>
    <phoneticPr fontId="4" type="noConversion"/>
  </si>
  <si>
    <t>③ 구리의 선</t>
    <phoneticPr fontId="4" type="noConversion"/>
  </si>
  <si>
    <t>(7408)</t>
    <phoneticPr fontId="4" type="noConversion"/>
  </si>
  <si>
    <t>멕시코</t>
    <phoneticPr fontId="4" type="noConversion"/>
  </si>
  <si>
    <t>수입</t>
    <phoneticPr fontId="4" type="noConversion"/>
  </si>
  <si>
    <t>④ 구리의 판</t>
    <phoneticPr fontId="4" type="noConversion"/>
  </si>
  <si>
    <t>(7409)</t>
    <phoneticPr fontId="4" type="noConversion"/>
  </si>
  <si>
    <t>남아프리카 공화국</t>
    <phoneticPr fontId="4" type="noConversion"/>
  </si>
  <si>
    <t>아랍에미리트 연합</t>
    <phoneticPr fontId="4" type="noConversion"/>
  </si>
  <si>
    <t>⑤ 구리의 박</t>
    <phoneticPr fontId="4" type="noConversion"/>
  </si>
  <si>
    <t>(7410)</t>
    <phoneticPr fontId="4" type="noConversion"/>
  </si>
  <si>
    <t>오스트리아</t>
    <phoneticPr fontId="4" type="noConversion"/>
  </si>
  <si>
    <t>⑥ 구리로 만든 관</t>
    <phoneticPr fontId="4" type="noConversion"/>
  </si>
  <si>
    <t>(7411)</t>
    <phoneticPr fontId="4" type="noConversion"/>
  </si>
  <si>
    <t>사우디아라비아</t>
    <phoneticPr fontId="4" type="noConversion"/>
  </si>
  <si>
    <t>카타르</t>
    <phoneticPr fontId="4" type="noConversion"/>
  </si>
  <si>
    <t>이집트</t>
  </si>
  <si>
    <t>쿠웨이트</t>
    <phoneticPr fontId="4" type="noConversion"/>
  </si>
  <si>
    <t>바레인</t>
    <phoneticPr fontId="4" type="noConversion"/>
  </si>
  <si>
    <t>레바논</t>
    <phoneticPr fontId="4" type="noConversion"/>
  </si>
  <si>
    <t>핀란드</t>
  </si>
  <si>
    <t>⑦ 납괴</t>
    <phoneticPr fontId="4" type="noConversion"/>
  </si>
  <si>
    <t>미국</t>
    <phoneticPr fontId="4" type="noConversion"/>
  </si>
  <si>
    <t>수출</t>
    <phoneticPr fontId="4" type="noConversion"/>
  </si>
  <si>
    <t>인도(인디아)</t>
    <phoneticPr fontId="4" type="noConversion"/>
  </si>
  <si>
    <t>베트남</t>
    <phoneticPr fontId="4" type="noConversion"/>
  </si>
  <si>
    <t>태국</t>
    <phoneticPr fontId="4" type="noConversion"/>
  </si>
  <si>
    <t>일본</t>
    <phoneticPr fontId="4" type="noConversion"/>
  </si>
  <si>
    <t>말레이시아</t>
    <phoneticPr fontId="4" type="noConversion"/>
  </si>
  <si>
    <t>포르투갈</t>
    <phoneticPr fontId="4" type="noConversion"/>
  </si>
  <si>
    <t>중국</t>
    <phoneticPr fontId="4" type="noConversion"/>
  </si>
  <si>
    <t>방글라데시</t>
    <phoneticPr fontId="4" type="noConversion"/>
  </si>
  <si>
    <t>필리핀</t>
    <phoneticPr fontId="4" type="noConversion"/>
  </si>
  <si>
    <t>영국</t>
    <phoneticPr fontId="4" type="noConversion"/>
  </si>
  <si>
    <t>스페인</t>
    <phoneticPr fontId="4" type="noConversion"/>
  </si>
  <si>
    <t>대만</t>
    <phoneticPr fontId="4" type="noConversion"/>
  </si>
  <si>
    <t>파키스탄</t>
    <phoneticPr fontId="4" type="noConversion"/>
  </si>
  <si>
    <t>페루</t>
    <phoneticPr fontId="4" type="noConversion"/>
  </si>
  <si>
    <t>사우디아라비아</t>
    <phoneticPr fontId="4" type="noConversion"/>
  </si>
  <si>
    <t>지부티</t>
    <phoneticPr fontId="4" type="noConversion"/>
  </si>
  <si>
    <t>네덜란드</t>
    <phoneticPr fontId="4" type="noConversion"/>
  </si>
  <si>
    <t>불가리아</t>
    <phoneticPr fontId="4" type="noConversion"/>
  </si>
  <si>
    <t>기타</t>
    <phoneticPr fontId="4" type="noConversion"/>
  </si>
  <si>
    <t>연
합
금
괴</t>
    <phoneticPr fontId="4" type="noConversion"/>
  </si>
  <si>
    <t>인도네시아</t>
    <phoneticPr fontId="4" type="noConversion"/>
  </si>
  <si>
    <t>크로아티아</t>
    <phoneticPr fontId="4" type="noConversion"/>
  </si>
  <si>
    <t>미얀마</t>
    <phoneticPr fontId="4" type="noConversion"/>
  </si>
  <si>
    <t>이란</t>
    <phoneticPr fontId="4" type="noConversion"/>
  </si>
  <si>
    <t>싱가포르</t>
    <phoneticPr fontId="4" type="noConversion"/>
  </si>
  <si>
    <t>합    계</t>
  </si>
  <si>
    <t>수입</t>
    <phoneticPr fontId="4" type="noConversion"/>
  </si>
  <si>
    <t>아랍에미리트 연합</t>
    <phoneticPr fontId="4" type="noConversion"/>
  </si>
  <si>
    <t>호주</t>
    <phoneticPr fontId="4" type="noConversion"/>
  </si>
  <si>
    <t>프랑스</t>
    <phoneticPr fontId="4" type="noConversion"/>
  </si>
  <si>
    <t>나이지리아</t>
    <phoneticPr fontId="4" type="noConversion"/>
  </si>
  <si>
    <t>남아프리카 공화국</t>
    <phoneticPr fontId="4" type="noConversion"/>
  </si>
  <si>
    <t>멕시코</t>
    <phoneticPr fontId="4" type="noConversion"/>
  </si>
  <si>
    <t>이탈리아</t>
    <phoneticPr fontId="4" type="noConversion"/>
  </si>
  <si>
    <t>수단</t>
    <phoneticPr fontId="4" type="noConversion"/>
  </si>
  <si>
    <t>예멘</t>
    <phoneticPr fontId="4" type="noConversion"/>
  </si>
  <si>
    <t>모잠비크</t>
    <phoneticPr fontId="4" type="noConversion"/>
  </si>
  <si>
    <t>가나</t>
    <phoneticPr fontId="4" type="noConversion"/>
  </si>
  <si>
    <t>세네갈</t>
    <phoneticPr fontId="4" type="noConversion"/>
  </si>
  <si>
    <t>요르단</t>
    <phoneticPr fontId="4" type="noConversion"/>
  </si>
  <si>
    <t>이집트</t>
    <phoneticPr fontId="4" type="noConversion"/>
  </si>
  <si>
    <t>카메룬</t>
    <phoneticPr fontId="4" type="noConversion"/>
  </si>
  <si>
    <t>⑧ 아연괴</t>
    <phoneticPr fontId="4" type="noConversion"/>
  </si>
  <si>
    <t>케냐</t>
    <phoneticPr fontId="4" type="noConversion"/>
  </si>
  <si>
    <t>쿠웨이트</t>
    <phoneticPr fontId="4" type="noConversion"/>
  </si>
  <si>
    <t>카타르</t>
    <phoneticPr fontId="4" type="noConversion"/>
  </si>
  <si>
    <t>이스라엘</t>
    <phoneticPr fontId="4" type="noConversion"/>
  </si>
  <si>
    <t>캐나다</t>
    <phoneticPr fontId="4" type="noConversion"/>
  </si>
  <si>
    <t>벨기에</t>
    <phoneticPr fontId="4" type="noConversion"/>
  </si>
  <si>
    <t>⑨ 알루미늄괴</t>
    <phoneticPr fontId="4" type="noConversion"/>
  </si>
  <si>
    <t>(7601)</t>
    <phoneticPr fontId="4" type="noConversion"/>
  </si>
  <si>
    <t>수
출</t>
    <phoneticPr fontId="4" type="noConversion"/>
  </si>
  <si>
    <t>터키</t>
    <phoneticPr fontId="4" type="noConversion"/>
  </si>
  <si>
    <t>소  계</t>
  </si>
  <si>
    <t>캐나다</t>
    <phoneticPr fontId="4" type="noConversion"/>
  </si>
  <si>
    <t>코스타리카</t>
    <phoneticPr fontId="4" type="noConversion"/>
  </si>
  <si>
    <t>케냐</t>
    <phoneticPr fontId="4" type="noConversion"/>
  </si>
  <si>
    <t>탄자니아</t>
    <phoneticPr fontId="4" type="noConversion"/>
  </si>
  <si>
    <t>타지키스탄</t>
  </si>
  <si>
    <t>오만</t>
    <phoneticPr fontId="4" type="noConversion"/>
  </si>
  <si>
    <t>아르헨티나</t>
    <phoneticPr fontId="4" type="noConversion"/>
  </si>
  <si>
    <t>나이지리아</t>
    <phoneticPr fontId="4" type="noConversion"/>
  </si>
  <si>
    <t>노르웨이</t>
    <phoneticPr fontId="4" type="noConversion"/>
  </si>
  <si>
    <t>캄보디아</t>
    <phoneticPr fontId="4" type="noConversion"/>
  </si>
  <si>
    <t>베네수엘라</t>
  </si>
  <si>
    <t>⑫ 알루미늄 판</t>
    <phoneticPr fontId="4" type="noConversion"/>
  </si>
  <si>
    <t>합금하지
않은 것</t>
    <phoneticPr fontId="4" type="noConversion"/>
  </si>
  <si>
    <t>소   계</t>
  </si>
  <si>
    <t>합금의것</t>
    <phoneticPr fontId="4" type="noConversion"/>
  </si>
  <si>
    <t>요르단</t>
    <phoneticPr fontId="4" type="noConversion"/>
  </si>
  <si>
    <t>소  계</t>
    <phoneticPr fontId="4" type="noConversion"/>
  </si>
  <si>
    <t>스위스</t>
    <phoneticPr fontId="4" type="noConversion"/>
  </si>
  <si>
    <t>⑬ 알루미늄 박</t>
    <phoneticPr fontId="4" type="noConversion"/>
  </si>
  <si>
    <t xml:space="preserve">  뒷면을 붙인 것 : 7607.20 )</t>
    <phoneticPr fontId="4" type="noConversion"/>
  </si>
  <si>
    <t>뒷면을</t>
  </si>
  <si>
    <t>붙이지</t>
  </si>
  <si>
    <t>않은 것</t>
    <phoneticPr fontId="4" type="noConversion"/>
  </si>
  <si>
    <t>붙인것</t>
  </si>
  <si>
    <t>파키스탄</t>
    <phoneticPr fontId="4" type="noConversion"/>
  </si>
  <si>
    <t>뒷면을</t>
    <phoneticPr fontId="4" type="noConversion"/>
  </si>
  <si>
    <t>않은 것</t>
  </si>
  <si>
    <t>아이슬란드</t>
    <phoneticPr fontId="4" type="noConversion"/>
  </si>
  <si>
    <t>이스라엘</t>
    <phoneticPr fontId="4" type="noConversion"/>
  </si>
  <si>
    <t>체코</t>
    <phoneticPr fontId="4" type="noConversion"/>
  </si>
  <si>
    <t>⑩ 알루미늄의 봉</t>
    <phoneticPr fontId="4" type="noConversion"/>
  </si>
  <si>
    <t>(7604)</t>
    <phoneticPr fontId="4" type="noConversion"/>
  </si>
  <si>
    <t>루마니아</t>
  </si>
  <si>
    <t>벨기에</t>
  </si>
  <si>
    <t>주&gt; 수출입 : KOTIS 통계자료기준</t>
    <phoneticPr fontId="4" type="noConversion"/>
  </si>
  <si>
    <t>⑪ 알루미늄의 선</t>
    <phoneticPr fontId="4" type="noConversion"/>
  </si>
  <si>
    <t>(7605)</t>
    <phoneticPr fontId="4" type="noConversion"/>
  </si>
  <si>
    <t>⑭ 알루미늄 압출</t>
    <phoneticPr fontId="4" type="noConversion"/>
  </si>
  <si>
    <t>(7610)</t>
    <phoneticPr fontId="4" type="noConversion"/>
  </si>
  <si>
    <t>괌</t>
    <phoneticPr fontId="4" type="noConversion"/>
  </si>
  <si>
    <t>몽골</t>
    <phoneticPr fontId="4" type="noConversion"/>
  </si>
  <si>
    <t>덴마크</t>
    <phoneticPr fontId="4" type="noConversion"/>
  </si>
  <si>
    <t>(7615)</t>
    <phoneticPr fontId="4" type="noConversion"/>
  </si>
  <si>
    <t>이집트</t>
    <phoneticPr fontId="4" type="noConversion"/>
  </si>
  <si>
    <t>▣ 수출입 실적</t>
    <phoneticPr fontId="4" type="noConversion"/>
  </si>
  <si>
    <t>년도</t>
    <phoneticPr fontId="4" type="noConversion"/>
  </si>
  <si>
    <t>1월</t>
    <phoneticPr fontId="4" type="noConversion"/>
  </si>
  <si>
    <t>품명</t>
    <phoneticPr fontId="4" type="noConversion"/>
  </si>
  <si>
    <t>구분</t>
    <phoneticPr fontId="4" type="noConversion"/>
  </si>
  <si>
    <t>증감율</t>
    <phoneticPr fontId="4" type="noConversion"/>
  </si>
  <si>
    <t>구
리</t>
    <phoneticPr fontId="4" type="noConversion"/>
  </si>
  <si>
    <t>스크랩</t>
    <phoneticPr fontId="4" type="noConversion"/>
  </si>
  <si>
    <t>금액</t>
    <phoneticPr fontId="4" type="noConversion"/>
  </si>
  <si>
    <t>괴</t>
    <phoneticPr fontId="4" type="noConversion"/>
  </si>
  <si>
    <t>가공
제품</t>
    <phoneticPr fontId="4" type="noConversion"/>
  </si>
  <si>
    <t>계</t>
    <phoneticPr fontId="4" type="noConversion"/>
  </si>
  <si>
    <t>납</t>
    <phoneticPr fontId="4" type="noConversion"/>
  </si>
  <si>
    <t>아
연</t>
    <phoneticPr fontId="4" type="noConversion"/>
  </si>
  <si>
    <t>알
루
미
늄</t>
    <phoneticPr fontId="4" type="noConversion"/>
  </si>
  <si>
    <t>니
켈</t>
    <phoneticPr fontId="4" type="noConversion"/>
  </si>
  <si>
    <t>주
석</t>
    <phoneticPr fontId="4" type="noConversion"/>
  </si>
  <si>
    <t>74
류
~
80
류</t>
    <phoneticPr fontId="4" type="noConversion"/>
  </si>
  <si>
    <t>81
류</t>
    <phoneticPr fontId="4" type="noConversion"/>
  </si>
  <si>
    <t>주 :  한국무역통계(KOTIS)</t>
    <phoneticPr fontId="4" type="noConversion"/>
  </si>
  <si>
    <t>구      분</t>
  </si>
  <si>
    <t>구리</t>
    <phoneticPr fontId="4" type="noConversion"/>
  </si>
  <si>
    <t>단가</t>
  </si>
  <si>
    <t>납</t>
    <phoneticPr fontId="4" type="noConversion"/>
  </si>
  <si>
    <t>아연</t>
  </si>
  <si>
    <t>알루미늄</t>
  </si>
  <si>
    <t>니켈</t>
  </si>
  <si>
    <t>주석</t>
  </si>
  <si>
    <t>소  계</t>
    <phoneticPr fontId="2" type="noConversion"/>
  </si>
  <si>
    <t>소   계</t>
    <phoneticPr fontId="2" type="noConversion"/>
  </si>
  <si>
    <t>Virgin
Ingot
(7601.
10.0000)</t>
    <phoneticPr fontId="4" type="noConversion"/>
  </si>
  <si>
    <t>Billet
(7601.
20.2000)</t>
    <phoneticPr fontId="4" type="noConversion"/>
  </si>
  <si>
    <t>Casting
(Alloy
7601.
20.1000)</t>
    <phoneticPr fontId="4" type="noConversion"/>
  </si>
  <si>
    <r>
      <rPr>
        <sz val="10"/>
        <rFont val="맑은 고딕"/>
        <family val="3"/>
        <charset val="129"/>
      </rPr>
      <t xml:space="preserve">기타
</t>
    </r>
    <r>
      <rPr>
        <sz val="10"/>
        <rFont val="Times New Roman"/>
        <family val="1"/>
      </rPr>
      <t>(7601.
20.9000)</t>
    </r>
    <phoneticPr fontId="4" type="noConversion"/>
  </si>
  <si>
    <t>7403
11</t>
    <phoneticPr fontId="4" type="noConversion"/>
  </si>
  <si>
    <r>
      <t xml:space="preserve">7403
(740311
</t>
    </r>
    <r>
      <rPr>
        <sz val="10"/>
        <color rgb="FFFF8080"/>
        <rFont val="맑은 고딕"/>
        <family val="3"/>
        <charset val="129"/>
      </rPr>
      <t>제외</t>
    </r>
    <r>
      <rPr>
        <sz val="10"/>
        <color rgb="FFFF8080"/>
        <rFont val="Times New Roman"/>
        <family val="1"/>
      </rPr>
      <t>)</t>
    </r>
    <phoneticPr fontId="4" type="noConversion"/>
  </si>
  <si>
    <t>7601
10</t>
    <phoneticPr fontId="2" type="noConversion"/>
  </si>
  <si>
    <t>7601
20</t>
    <phoneticPr fontId="2" type="noConversion"/>
  </si>
  <si>
    <r>
      <t xml:space="preserve">7801
(7801
991000
 </t>
    </r>
    <r>
      <rPr>
        <sz val="10"/>
        <color rgb="FFFF8080"/>
        <rFont val="맑은 고딕"/>
        <family val="3"/>
        <charset val="129"/>
      </rPr>
      <t>제외</t>
    </r>
    <r>
      <rPr>
        <sz val="10"/>
        <color rgb="FFFF8080"/>
        <rFont val="Times New Roman"/>
        <family val="1"/>
      </rPr>
      <t>)</t>
    </r>
    <phoneticPr fontId="4" type="noConversion"/>
  </si>
  <si>
    <r>
      <t xml:space="preserve">7403
(740311
</t>
    </r>
    <r>
      <rPr>
        <sz val="10"/>
        <color rgb="FFFF8080"/>
        <rFont val="맑은 고딕"/>
        <family val="3"/>
        <charset val="129"/>
      </rPr>
      <t>제외</t>
    </r>
    <r>
      <rPr>
        <sz val="10"/>
        <color rgb="FFFF8080"/>
        <rFont val="Times New Roman"/>
        <family val="1"/>
      </rPr>
      <t>)</t>
    </r>
    <phoneticPr fontId="4" type="noConversion"/>
  </si>
  <si>
    <t>우즈베키스탄</t>
    <phoneticPr fontId="2" type="noConversion"/>
  </si>
  <si>
    <t>7901
7904
002000
7907
009010</t>
    <phoneticPr fontId="4" type="noConversion"/>
  </si>
  <si>
    <t>( 합금하지 않은것 : 7606.11 + 7606.91</t>
    <phoneticPr fontId="4" type="noConversion"/>
  </si>
  <si>
    <t>⑮ 알루미늄 가정용품</t>
    <phoneticPr fontId="4" type="noConversion"/>
  </si>
  <si>
    <t>마다가스카르</t>
  </si>
  <si>
    <t>노르웨이</t>
  </si>
  <si>
    <t>몬테네그로</t>
  </si>
  <si>
    <t>수출</t>
    <phoneticPr fontId="4" type="noConversion"/>
  </si>
  <si>
    <t>ㅁ 니켈괴</t>
    <phoneticPr fontId="2" type="noConversion"/>
  </si>
  <si>
    <t>ㅁ 마그네슘괴</t>
    <phoneticPr fontId="2" type="noConversion"/>
  </si>
  <si>
    <t>2019년</t>
  </si>
  <si>
    <t>2018년</t>
    <phoneticPr fontId="2" type="noConversion"/>
  </si>
  <si>
    <t>단가</t>
    <phoneticPr fontId="4" type="noConversion"/>
  </si>
  <si>
    <t>7403
11</t>
    <phoneticPr fontId="4" type="noConversion"/>
  </si>
  <si>
    <t>금액</t>
    <phoneticPr fontId="4" type="noConversion"/>
  </si>
  <si>
    <t>단가</t>
    <phoneticPr fontId="4" type="noConversion"/>
  </si>
  <si>
    <t>폴란드</t>
    <phoneticPr fontId="2" type="noConversion"/>
  </si>
  <si>
    <t>요르단</t>
    <phoneticPr fontId="2" type="noConversion"/>
  </si>
  <si>
    <t>바레인</t>
    <phoneticPr fontId="2" type="noConversion"/>
  </si>
  <si>
    <t>대만</t>
    <phoneticPr fontId="2" type="noConversion"/>
  </si>
  <si>
    <t>독일</t>
    <phoneticPr fontId="2" type="noConversion"/>
  </si>
  <si>
    <t>방글라데시</t>
    <phoneticPr fontId="4" type="noConversion"/>
  </si>
  <si>
    <t>터키</t>
    <phoneticPr fontId="2" type="noConversion"/>
  </si>
  <si>
    <t>미얀마</t>
    <phoneticPr fontId="2" type="noConversion"/>
  </si>
  <si>
    <t>(7502)</t>
    <phoneticPr fontId="2" type="noConversion"/>
  </si>
  <si>
    <t>2016년</t>
    <phoneticPr fontId="2" type="noConversion"/>
  </si>
  <si>
    <t>(81041)</t>
    <phoneticPr fontId="2" type="noConversion"/>
  </si>
  <si>
    <t>대만</t>
    <phoneticPr fontId="2" type="noConversion"/>
  </si>
  <si>
    <t>74류~81류 (2월)</t>
    <phoneticPr fontId="4" type="noConversion"/>
  </si>
  <si>
    <t>Virgin
Ingot
(7601.
10.0000)</t>
    <phoneticPr fontId="4" type="noConversion"/>
  </si>
  <si>
    <t>( 뒷면을 붙이지 않은 것 : 7607.11 + 7607.19</t>
    <phoneticPr fontId="4" type="noConversion"/>
  </si>
  <si>
    <t>네덜란드</t>
    <phoneticPr fontId="2" type="noConversion"/>
  </si>
  <si>
    <t>정
제
연
괴</t>
    <phoneticPr fontId="4" type="noConversion"/>
  </si>
  <si>
    <t>정
제
연
괴</t>
    <phoneticPr fontId="2" type="noConversion"/>
  </si>
  <si>
    <t>7901
7904
002000
7907
009010</t>
    <phoneticPr fontId="4" type="noConversion"/>
  </si>
  <si>
    <t>인도(인디아)</t>
    <phoneticPr fontId="4" type="noConversion"/>
  </si>
  <si>
    <t>페루</t>
    <phoneticPr fontId="2" type="noConversion"/>
  </si>
  <si>
    <t>스페인</t>
    <phoneticPr fontId="2" type="noConversion"/>
  </si>
  <si>
    <t>폴란드</t>
    <phoneticPr fontId="2" type="noConversion"/>
  </si>
  <si>
    <r>
      <rPr>
        <sz val="10"/>
        <rFont val="맑은 고딕"/>
        <family val="3"/>
        <charset val="129"/>
      </rPr>
      <t xml:space="preserve">기타
</t>
    </r>
    <r>
      <rPr>
        <sz val="10"/>
        <rFont val="Times New Roman"/>
        <family val="1"/>
      </rPr>
      <t>(7601.
20.9000)</t>
    </r>
    <phoneticPr fontId="4" type="noConversion"/>
  </si>
  <si>
    <t xml:space="preserve">  합금의 것 : 7606.12 + 7606.92 )</t>
    <phoneticPr fontId="4" type="noConversion"/>
  </si>
  <si>
    <t>(7403.11.0000)</t>
    <phoneticPr fontId="4" type="noConversion"/>
  </si>
  <si>
    <t>중국</t>
    <phoneticPr fontId="4" type="noConversion"/>
  </si>
  <si>
    <t>베트남</t>
    <phoneticPr fontId="4" type="noConversion"/>
  </si>
  <si>
    <t>말레이시아</t>
    <phoneticPr fontId="4" type="noConversion"/>
  </si>
  <si>
    <t>대만</t>
    <phoneticPr fontId="4" type="noConversion"/>
  </si>
  <si>
    <t>태국</t>
    <phoneticPr fontId="4" type="noConversion"/>
  </si>
  <si>
    <t>일본</t>
    <phoneticPr fontId="4" type="noConversion"/>
  </si>
  <si>
    <t>방글라데시</t>
    <phoneticPr fontId="4" type="noConversion"/>
  </si>
  <si>
    <t>이란</t>
    <phoneticPr fontId="4" type="noConversion"/>
  </si>
  <si>
    <t>홍콩</t>
    <phoneticPr fontId="4" type="noConversion"/>
  </si>
  <si>
    <t>인도네시아</t>
    <phoneticPr fontId="4" type="noConversion"/>
  </si>
  <si>
    <t>싱가포르</t>
    <phoneticPr fontId="4" type="noConversion"/>
  </si>
  <si>
    <t>기타</t>
    <phoneticPr fontId="4" type="noConversion"/>
  </si>
  <si>
    <t>칠레</t>
    <phoneticPr fontId="4" type="noConversion"/>
  </si>
  <si>
    <t>콩고 민주공화국</t>
    <phoneticPr fontId="4" type="noConversion"/>
  </si>
  <si>
    <t>호주</t>
    <phoneticPr fontId="4" type="noConversion"/>
  </si>
  <si>
    <t>필리핀</t>
    <phoneticPr fontId="4" type="noConversion"/>
  </si>
  <si>
    <t>잠비아</t>
    <phoneticPr fontId="4" type="noConversion"/>
  </si>
  <si>
    <t>미국</t>
    <phoneticPr fontId="4" type="noConversion"/>
  </si>
  <si>
    <t>페루</t>
    <phoneticPr fontId="4" type="noConversion"/>
  </si>
  <si>
    <t>독일</t>
    <phoneticPr fontId="4" type="noConversion"/>
  </si>
  <si>
    <t>벨기에</t>
    <phoneticPr fontId="4" type="noConversion"/>
  </si>
  <si>
    <t>미얀마</t>
    <phoneticPr fontId="4" type="noConversion"/>
  </si>
  <si>
    <t>브라질</t>
    <phoneticPr fontId="4" type="noConversion"/>
  </si>
  <si>
    <t>중국</t>
    <phoneticPr fontId="4" type="noConversion"/>
  </si>
  <si>
    <t>폴란드</t>
    <phoneticPr fontId="4" type="noConversion"/>
  </si>
  <si>
    <t>베트남</t>
    <phoneticPr fontId="4" type="noConversion"/>
  </si>
  <si>
    <t>이탈리아</t>
    <phoneticPr fontId="4" type="noConversion"/>
  </si>
  <si>
    <t>인도(인디아)</t>
    <phoneticPr fontId="4" type="noConversion"/>
  </si>
  <si>
    <t>뉴질랜드</t>
    <phoneticPr fontId="4" type="noConversion"/>
  </si>
  <si>
    <t>네덜란드</t>
    <phoneticPr fontId="4" type="noConversion"/>
  </si>
  <si>
    <t>필리핀</t>
    <phoneticPr fontId="4" type="noConversion"/>
  </si>
  <si>
    <t>스페인</t>
    <phoneticPr fontId="4" type="noConversion"/>
  </si>
  <si>
    <t>이란</t>
    <phoneticPr fontId="4" type="noConversion"/>
  </si>
  <si>
    <t>기타</t>
    <phoneticPr fontId="4" type="noConversion"/>
  </si>
  <si>
    <t>일본</t>
    <phoneticPr fontId="4" type="noConversion"/>
  </si>
  <si>
    <t>태국</t>
    <phoneticPr fontId="4" type="noConversion"/>
  </si>
  <si>
    <t>미국</t>
    <phoneticPr fontId="4" type="noConversion"/>
  </si>
  <si>
    <t>중국</t>
    <phoneticPr fontId="4" type="noConversion"/>
  </si>
  <si>
    <t>독일</t>
    <phoneticPr fontId="4" type="noConversion"/>
  </si>
  <si>
    <t>대만</t>
    <phoneticPr fontId="4" type="noConversion"/>
  </si>
  <si>
    <t>영국</t>
    <phoneticPr fontId="4" type="noConversion"/>
  </si>
  <si>
    <t>프랑스</t>
    <phoneticPr fontId="4" type="noConversion"/>
  </si>
  <si>
    <t>그리스</t>
    <phoneticPr fontId="4" type="noConversion"/>
  </si>
  <si>
    <t>이탈리아</t>
    <phoneticPr fontId="4" type="noConversion"/>
  </si>
  <si>
    <t>싱가포르</t>
    <phoneticPr fontId="4" type="noConversion"/>
  </si>
  <si>
    <t>홍콩</t>
    <phoneticPr fontId="4" type="noConversion"/>
  </si>
  <si>
    <t>인도네시아</t>
    <phoneticPr fontId="4" type="noConversion"/>
  </si>
  <si>
    <t>베트남</t>
    <phoneticPr fontId="4" type="noConversion"/>
  </si>
  <si>
    <t>멕시코</t>
    <phoneticPr fontId="4" type="noConversion"/>
  </si>
  <si>
    <t>호주</t>
    <phoneticPr fontId="4" type="noConversion"/>
  </si>
  <si>
    <t>방글라데시</t>
    <phoneticPr fontId="4" type="noConversion"/>
  </si>
  <si>
    <t>피지</t>
    <phoneticPr fontId="4" type="noConversion"/>
  </si>
  <si>
    <t>뉴질랜드</t>
    <phoneticPr fontId="4" type="noConversion"/>
  </si>
  <si>
    <t>슬로바키아</t>
    <phoneticPr fontId="4" type="noConversion"/>
  </si>
  <si>
    <t>미얀마</t>
    <phoneticPr fontId="4" type="noConversion"/>
  </si>
  <si>
    <t>러시아</t>
    <phoneticPr fontId="2" type="noConversion"/>
  </si>
  <si>
    <t>스페인</t>
    <phoneticPr fontId="4" type="noConversion"/>
  </si>
  <si>
    <t>태국</t>
    <phoneticPr fontId="4" type="noConversion"/>
  </si>
  <si>
    <t>프랑스</t>
    <phoneticPr fontId="4" type="noConversion"/>
  </si>
  <si>
    <t>인도네시아</t>
    <phoneticPr fontId="4" type="noConversion"/>
  </si>
  <si>
    <t>남아프리카 공화국</t>
    <phoneticPr fontId="4" type="noConversion"/>
  </si>
  <si>
    <t>미국</t>
    <phoneticPr fontId="4" type="noConversion"/>
  </si>
  <si>
    <t>뉴질랜드</t>
    <phoneticPr fontId="4" type="noConversion"/>
  </si>
  <si>
    <t>방글라데시</t>
    <phoneticPr fontId="4" type="noConversion"/>
  </si>
  <si>
    <t>싱가포르</t>
    <phoneticPr fontId="4" type="noConversion"/>
  </si>
  <si>
    <t>불가리아</t>
    <phoneticPr fontId="4" type="noConversion"/>
  </si>
  <si>
    <t>태국</t>
    <phoneticPr fontId="4" type="noConversion"/>
  </si>
  <si>
    <t>핀란드</t>
    <phoneticPr fontId="4" type="noConversion"/>
  </si>
  <si>
    <t>말레이시아</t>
    <phoneticPr fontId="4" type="noConversion"/>
  </si>
  <si>
    <t>스웨덴</t>
    <phoneticPr fontId="4" type="noConversion"/>
  </si>
  <si>
    <t>영국</t>
    <phoneticPr fontId="4" type="noConversion"/>
  </si>
  <si>
    <t>싱가포르</t>
    <phoneticPr fontId="4" type="noConversion"/>
  </si>
  <si>
    <t>마카오</t>
    <phoneticPr fontId="4" type="noConversion"/>
  </si>
  <si>
    <t>베트남</t>
    <phoneticPr fontId="4" type="noConversion"/>
  </si>
  <si>
    <t>헝가리</t>
    <phoneticPr fontId="2" type="noConversion"/>
  </si>
  <si>
    <t>폴란드</t>
    <phoneticPr fontId="2" type="noConversion"/>
  </si>
  <si>
    <t>슬로베니아</t>
    <phoneticPr fontId="4" type="noConversion"/>
  </si>
  <si>
    <t>오스트리아</t>
    <phoneticPr fontId="4" type="noConversion"/>
  </si>
  <si>
    <t>룩셈부르크</t>
    <phoneticPr fontId="4" type="noConversion"/>
  </si>
  <si>
    <t>태국</t>
    <phoneticPr fontId="4" type="noConversion"/>
  </si>
  <si>
    <t>독일</t>
    <phoneticPr fontId="4" type="noConversion"/>
  </si>
  <si>
    <t>영국</t>
    <phoneticPr fontId="4" type="noConversion"/>
  </si>
  <si>
    <t>사우디아라비아</t>
    <phoneticPr fontId="4" type="noConversion"/>
  </si>
  <si>
    <t>홍콩</t>
    <phoneticPr fontId="4" type="noConversion"/>
  </si>
  <si>
    <t>브라질</t>
    <phoneticPr fontId="4" type="noConversion"/>
  </si>
  <si>
    <t>싱가포르</t>
    <phoneticPr fontId="4" type="noConversion"/>
  </si>
  <si>
    <t>카타르</t>
    <phoneticPr fontId="4" type="noConversion"/>
  </si>
  <si>
    <t>쿠웨이트</t>
    <phoneticPr fontId="4" type="noConversion"/>
  </si>
  <si>
    <t>바레인</t>
    <phoneticPr fontId="4" type="noConversion"/>
  </si>
  <si>
    <t>오스트리아</t>
    <phoneticPr fontId="2" type="noConversion"/>
  </si>
  <si>
    <t>홍콩</t>
    <phoneticPr fontId="4" type="noConversion"/>
  </si>
  <si>
    <t>호주</t>
    <phoneticPr fontId="4" type="noConversion"/>
  </si>
  <si>
    <t>싱가포르</t>
    <phoneticPr fontId="4" type="noConversion"/>
  </si>
  <si>
    <t>2020년</t>
    <phoneticPr fontId="4" type="noConversion"/>
  </si>
  <si>
    <t>2020년</t>
    <phoneticPr fontId="2" type="noConversion"/>
  </si>
  <si>
    <t>폴란드</t>
  </si>
  <si>
    <t>헝가리</t>
  </si>
  <si>
    <t>74류(1월)</t>
  </si>
  <si>
    <t>75류(1월)</t>
  </si>
  <si>
    <t>76류(1월)</t>
  </si>
  <si>
    <t>78류(1월)</t>
  </si>
  <si>
    <t>79류(1월)</t>
  </si>
  <si>
    <t>80류(1월)</t>
  </si>
  <si>
    <t>81류(1월)</t>
  </si>
  <si>
    <t>74류~81류 (1-1월 누계)</t>
    <phoneticPr fontId="2" type="noConversion"/>
  </si>
  <si>
    <t>2020년</t>
  </si>
  <si>
    <t>오스트리아</t>
    <phoneticPr fontId="2" type="noConversion"/>
  </si>
  <si>
    <t>남아프리카 공화국</t>
    <phoneticPr fontId="2" type="noConversion"/>
  </si>
  <si>
    <t>독일</t>
    <phoneticPr fontId="2" type="noConversion"/>
  </si>
  <si>
    <t>터키</t>
    <phoneticPr fontId="2" type="noConversion"/>
  </si>
  <si>
    <t>크로아티아</t>
    <phoneticPr fontId="2" type="noConversion"/>
  </si>
  <si>
    <t>인도(인디아)</t>
    <phoneticPr fontId="2" type="noConversion"/>
  </si>
  <si>
    <t>싱가포르</t>
    <phoneticPr fontId="4" type="noConversion"/>
  </si>
  <si>
    <t>일본</t>
    <phoneticPr fontId="4" type="noConversion"/>
  </si>
  <si>
    <t>미얀마</t>
    <phoneticPr fontId="2" type="noConversion"/>
  </si>
  <si>
    <t>미국</t>
    <phoneticPr fontId="2" type="noConversion"/>
  </si>
  <si>
    <t>카타르</t>
    <phoneticPr fontId="2" type="noConversion"/>
  </si>
  <si>
    <t>캐나다</t>
    <phoneticPr fontId="2" type="noConversion"/>
  </si>
  <si>
    <t>남아프리카 공화국</t>
    <phoneticPr fontId="4" type="noConversion"/>
  </si>
  <si>
    <t>대만</t>
    <phoneticPr fontId="2" type="noConversion"/>
  </si>
  <si>
    <t>슬로베니아</t>
    <phoneticPr fontId="2" type="noConversion"/>
  </si>
  <si>
    <t>프랑스</t>
    <phoneticPr fontId="2" type="noConversion"/>
  </si>
  <si>
    <t>브라질</t>
    <phoneticPr fontId="2" type="noConversion"/>
  </si>
  <si>
    <t>러시아</t>
    <phoneticPr fontId="2" type="noConversion"/>
  </si>
  <si>
    <t>오만</t>
    <phoneticPr fontId="2" type="noConversion"/>
  </si>
  <si>
    <t>미국</t>
    <phoneticPr fontId="2" type="noConversion"/>
  </si>
  <si>
    <t>이탈리아</t>
    <phoneticPr fontId="4" type="noConversion"/>
  </si>
  <si>
    <t>칠레</t>
    <phoneticPr fontId="2" type="noConversion"/>
  </si>
  <si>
    <t>파키스탄</t>
    <phoneticPr fontId="2" type="noConversion"/>
  </si>
  <si>
    <t>콜롬비아</t>
    <phoneticPr fontId="2" type="noConversion"/>
  </si>
  <si>
    <t>슬로바키아</t>
    <phoneticPr fontId="2" type="noConversion"/>
  </si>
  <si>
    <t>1-2월</t>
    <phoneticPr fontId="2" type="noConversion"/>
  </si>
  <si>
    <t>2월</t>
    <phoneticPr fontId="4" type="noConversion"/>
  </si>
  <si>
    <t>1-2월</t>
    <phoneticPr fontId="4" type="noConversion"/>
  </si>
  <si>
    <t>1월</t>
    <phoneticPr fontId="2" type="noConversion"/>
  </si>
  <si>
    <t>2월</t>
    <phoneticPr fontId="2" type="noConversion"/>
  </si>
  <si>
    <t>1-2 월</t>
    <phoneticPr fontId="2" type="noConversion"/>
  </si>
  <si>
    <t>74류(2월)</t>
  </si>
  <si>
    <t>75류(2월)</t>
  </si>
  <si>
    <t>76류(2월)</t>
  </si>
  <si>
    <t>78류(2월)</t>
  </si>
  <si>
    <t>79류(2월)</t>
  </si>
  <si>
    <t>80류(2월)</t>
  </si>
  <si>
    <t>81류(2월)</t>
  </si>
  <si>
    <t>74류~81류 (1-2월 누계)</t>
  </si>
  <si>
    <t>2월</t>
    <phoneticPr fontId="2" type="noConversion"/>
  </si>
  <si>
    <t>1-2월</t>
    <phoneticPr fontId="2" type="noConversion"/>
  </si>
  <si>
    <t>( 7901 + 7904.00.2000 + 7907.00.9010 )</t>
    <phoneticPr fontId="4" type="noConversion"/>
  </si>
  <si>
    <t>( 정제연괴 : 7801.10.1000 + 9000</t>
    <phoneticPr fontId="4" type="noConversion"/>
  </si>
  <si>
    <t xml:space="preserve">  연합금괴 : 7801.91.0000 + 99.2010 + 99.2090 )</t>
    <phoneticPr fontId="4" type="noConversion"/>
  </si>
  <si>
    <t>수입</t>
    <phoneticPr fontId="4" type="noConversion"/>
  </si>
  <si>
    <t>3월</t>
    <phoneticPr fontId="2" type="noConversion"/>
  </si>
  <si>
    <t>1-3월</t>
    <phoneticPr fontId="2" type="noConversion"/>
  </si>
  <si>
    <t>3월</t>
    <phoneticPr fontId="4" type="noConversion"/>
  </si>
  <si>
    <t>1-3월</t>
    <phoneticPr fontId="4" type="noConversion"/>
  </si>
  <si>
    <t>독일</t>
    <phoneticPr fontId="2" type="noConversion"/>
  </si>
  <si>
    <t>1-3월</t>
    <phoneticPr fontId="4" type="noConversion"/>
  </si>
  <si>
    <t>1-2월</t>
    <phoneticPr fontId="4" type="noConversion"/>
  </si>
  <si>
    <t>4월</t>
  </si>
  <si>
    <t>4월</t>
    <phoneticPr fontId="2" type="noConversion"/>
  </si>
  <si>
    <t>1-4월</t>
  </si>
  <si>
    <t>1-4월</t>
    <phoneticPr fontId="2" type="noConversion"/>
  </si>
  <si>
    <t>4월</t>
    <phoneticPr fontId="4" type="noConversion"/>
  </si>
  <si>
    <t>1-4월</t>
    <phoneticPr fontId="4" type="noConversion"/>
  </si>
  <si>
    <t>5월</t>
    <phoneticPr fontId="4" type="noConversion"/>
  </si>
  <si>
    <t>1-5월</t>
    <phoneticPr fontId="4" type="noConversion"/>
  </si>
  <si>
    <t>5월</t>
    <phoneticPr fontId="2" type="noConversion"/>
  </si>
  <si>
    <t>1-5월</t>
    <phoneticPr fontId="2" type="noConversion"/>
  </si>
  <si>
    <t>증감율</t>
    <phoneticPr fontId="4" type="noConversion"/>
  </si>
  <si>
    <t>5월</t>
    <phoneticPr fontId="2" type="noConversion"/>
  </si>
  <si>
    <t>1-5월</t>
    <phoneticPr fontId="2" type="noConversion"/>
  </si>
  <si>
    <t>5월</t>
    <phoneticPr fontId="2" type="noConversion"/>
  </si>
  <si>
    <t>1-5월</t>
    <phoneticPr fontId="2" type="noConversion"/>
  </si>
  <si>
    <t>수출</t>
    <phoneticPr fontId="4" type="noConversion"/>
  </si>
  <si>
    <t>수입</t>
    <phoneticPr fontId="4" type="noConversion"/>
  </si>
  <si>
    <t>74류~81류 (2월)</t>
    <phoneticPr fontId="4" type="noConversion"/>
  </si>
  <si>
    <t>2021년 2월 비철금속 국가별 수출</t>
    <phoneticPr fontId="4" type="noConversion"/>
  </si>
  <si>
    <t>2021년</t>
  </si>
  <si>
    <t>2021년</t>
    <phoneticPr fontId="4" type="noConversion"/>
  </si>
  <si>
    <t>페루</t>
  </si>
  <si>
    <t>미얀마</t>
  </si>
  <si>
    <t>2021년 1월 비철금속 국가별 수출</t>
  </si>
  <si>
    <t>2021년 2월 비철금속 국가별 수입</t>
    <phoneticPr fontId="4" type="noConversion"/>
  </si>
  <si>
    <t>2021년 1월 비철금속 국가별 수입</t>
  </si>
  <si>
    <t>요르단</t>
  </si>
  <si>
    <t>케냐</t>
  </si>
  <si>
    <t>칠레</t>
    <phoneticPr fontId="2" type="noConversion"/>
  </si>
  <si>
    <t>터키</t>
    <phoneticPr fontId="2" type="noConversion"/>
  </si>
  <si>
    <t>슬로베니아</t>
    <phoneticPr fontId="4" type="noConversion"/>
  </si>
  <si>
    <t>헝가리</t>
    <phoneticPr fontId="2" type="noConversion"/>
  </si>
  <si>
    <t>베트남</t>
    <phoneticPr fontId="2" type="noConversion"/>
  </si>
  <si>
    <t>케냐</t>
    <phoneticPr fontId="2" type="noConversion"/>
  </si>
  <si>
    <t>카자흐스탄</t>
    <phoneticPr fontId="2" type="noConversion"/>
  </si>
  <si>
    <t>독일</t>
    <phoneticPr fontId="2" type="noConversion"/>
  </si>
  <si>
    <t>조지아</t>
    <phoneticPr fontId="2" type="noConversion"/>
  </si>
  <si>
    <t>불가리아</t>
    <phoneticPr fontId="4" type="noConversion"/>
  </si>
  <si>
    <t>오스트리아</t>
    <phoneticPr fontId="2" type="noConversion"/>
  </si>
  <si>
    <t>네팔</t>
    <phoneticPr fontId="2" type="noConversion"/>
  </si>
  <si>
    <t>오만</t>
    <phoneticPr fontId="2" type="noConversion"/>
  </si>
  <si>
    <t>인도네시아</t>
    <phoneticPr fontId="2" type="noConversion"/>
  </si>
  <si>
    <t>중국</t>
    <phoneticPr fontId="2" type="noConversion"/>
  </si>
  <si>
    <t>프랑스</t>
    <phoneticPr fontId="2" type="noConversion"/>
  </si>
  <si>
    <t>말레이시아</t>
    <phoneticPr fontId="2" type="noConversion"/>
  </si>
  <si>
    <t>필리핀</t>
    <phoneticPr fontId="4" type="noConversion"/>
  </si>
  <si>
    <t>호주</t>
    <phoneticPr fontId="2" type="noConversion"/>
  </si>
  <si>
    <t>대만</t>
    <phoneticPr fontId="2" type="noConversion"/>
  </si>
  <si>
    <t>멕시코</t>
    <phoneticPr fontId="2" type="noConversion"/>
  </si>
  <si>
    <t>러시아</t>
    <phoneticPr fontId="2" type="noConversion"/>
  </si>
  <si>
    <t>노르웨이</t>
    <phoneticPr fontId="2" type="noConversion"/>
  </si>
  <si>
    <t>태국</t>
    <phoneticPr fontId="2" type="noConversion"/>
  </si>
  <si>
    <t>브라질</t>
    <phoneticPr fontId="2" type="noConversion"/>
  </si>
  <si>
    <t>과테말라</t>
    <phoneticPr fontId="2" type="noConversion"/>
  </si>
  <si>
    <t>영국</t>
    <phoneticPr fontId="2" type="noConversion"/>
  </si>
  <si>
    <t>헝가리</t>
    <phoneticPr fontId="2" type="noConversion"/>
  </si>
  <si>
    <t>인도(인디아)</t>
    <phoneticPr fontId="2" type="noConversion"/>
  </si>
  <si>
    <t>스페인</t>
    <phoneticPr fontId="2" type="noConversion"/>
  </si>
  <si>
    <t>뉴질랜드</t>
    <phoneticPr fontId="2" type="noConversion"/>
  </si>
  <si>
    <t>크로아티아</t>
    <phoneticPr fontId="2" type="noConversion"/>
  </si>
  <si>
    <t>아랍에미리트 연합</t>
    <phoneticPr fontId="2" type="noConversion"/>
  </si>
  <si>
    <t>이탈리아</t>
    <phoneticPr fontId="2" type="noConversion"/>
  </si>
  <si>
    <t>2월</t>
    <phoneticPr fontId="2" type="noConversion"/>
  </si>
  <si>
    <t>1-2월</t>
    <phoneticPr fontId="2" type="noConversion"/>
  </si>
  <si>
    <t>3월</t>
    <phoneticPr fontId="2" type="noConversion"/>
  </si>
  <si>
    <t>1-3월</t>
    <phoneticPr fontId="2" type="noConversion"/>
  </si>
  <si>
    <t>2017년</t>
    <phoneticPr fontId="4" type="noConversion"/>
  </si>
  <si>
    <t>5월</t>
    <phoneticPr fontId="2" type="noConversion"/>
  </si>
  <si>
    <t>1-5월</t>
    <phoneticPr fontId="2" type="noConversion"/>
  </si>
  <si>
    <t>2월</t>
    <phoneticPr fontId="2" type="noConversion"/>
  </si>
  <si>
    <t>1-2월</t>
    <phoneticPr fontId="2" type="noConversion"/>
  </si>
  <si>
    <t>3월</t>
    <phoneticPr fontId="2" type="noConversion"/>
  </si>
  <si>
    <t>1-3월</t>
    <phoneticPr fontId="2" type="noConversion"/>
  </si>
  <si>
    <t>5월</t>
    <phoneticPr fontId="2" type="noConversion"/>
  </si>
  <si>
    <t>1-5월</t>
    <phoneticPr fontId="2" type="noConversion"/>
  </si>
  <si>
    <t>2017년</t>
    <phoneticPr fontId="4" type="noConversion"/>
  </si>
  <si>
    <t>덴마크</t>
    <phoneticPr fontId="2" type="noConversion"/>
  </si>
  <si>
    <t>미얀마</t>
    <phoneticPr fontId="2" type="noConversion"/>
  </si>
  <si>
    <t>아일랜드</t>
    <phoneticPr fontId="2" type="noConversion"/>
  </si>
  <si>
    <t>이라크</t>
    <phoneticPr fontId="2" type="noConversion"/>
  </si>
  <si>
    <t>그리스</t>
    <phoneticPr fontId="2" type="noConversion"/>
  </si>
  <si>
    <t>몽골</t>
    <phoneticPr fontId="2" type="noConversion"/>
  </si>
  <si>
    <t>폴란드</t>
    <phoneticPr fontId="2" type="noConversion"/>
  </si>
  <si>
    <t>2020년</t>
    <phoneticPr fontId="2" type="noConversion"/>
  </si>
  <si>
    <t>영국</t>
    <phoneticPr fontId="2" type="noConversion"/>
  </si>
  <si>
    <t>중량</t>
  </si>
  <si>
    <t>콩고 민주공화국</t>
    <phoneticPr fontId="2" type="noConversion"/>
  </si>
  <si>
    <t>2021년 1-2월 비철금속 국가별 수입</t>
    <phoneticPr fontId="2" type="noConversion"/>
  </si>
  <si>
    <t>2021년 1-2월 비철금속 국가별 수출</t>
    <phoneticPr fontId="2" type="noConversion"/>
  </si>
  <si>
    <t>2021년 3월 비철금속 국가별 수출</t>
    <phoneticPr fontId="4" type="noConversion"/>
  </si>
  <si>
    <t>2021년 1-3월 비철금속 국가별 수출</t>
    <phoneticPr fontId="2" type="noConversion"/>
  </si>
  <si>
    <t>74류(3월)</t>
  </si>
  <si>
    <t>75류(3월)</t>
  </si>
  <si>
    <t>76류(3월)</t>
  </si>
  <si>
    <t>78류(3월)</t>
  </si>
  <si>
    <t>79류(3월)</t>
  </si>
  <si>
    <t>80류(3월)</t>
  </si>
  <si>
    <t>81류(3월)</t>
  </si>
  <si>
    <t>74류~81류 (1-3월 누계)</t>
  </si>
  <si>
    <t>74류~81류 (3월)</t>
    <phoneticPr fontId="4" type="noConversion"/>
  </si>
  <si>
    <t>2021년 3월 비철금속 국가별 수입</t>
    <phoneticPr fontId="4" type="noConversion"/>
  </si>
  <si>
    <t>2021년 1-3월 비철금속 국가별 수입</t>
  </si>
  <si>
    <t>불가리아</t>
    <phoneticPr fontId="2" type="noConversion"/>
  </si>
  <si>
    <t>베트남</t>
    <phoneticPr fontId="2" type="noConversion"/>
  </si>
  <si>
    <t>바레인</t>
    <phoneticPr fontId="2" type="noConversion"/>
  </si>
  <si>
    <t>중국</t>
    <phoneticPr fontId="2" type="noConversion"/>
  </si>
  <si>
    <t>카자흐스탄</t>
    <phoneticPr fontId="2" type="noConversion"/>
  </si>
  <si>
    <t>2021년 4월 비철금속 국가별 수출</t>
    <phoneticPr fontId="4" type="noConversion"/>
  </si>
  <si>
    <t>2021년 1-4월 비철금속 국가별 수출</t>
    <phoneticPr fontId="2" type="noConversion"/>
  </si>
  <si>
    <t>74류(4월)</t>
  </si>
  <si>
    <t>75류(4월)</t>
  </si>
  <si>
    <t>76류(4월)</t>
  </si>
  <si>
    <t>78류(4월)</t>
  </si>
  <si>
    <t>79류(4월)</t>
  </si>
  <si>
    <t>80류(4월)</t>
  </si>
  <si>
    <t>81류(4월)</t>
  </si>
  <si>
    <t>74류~81류 (1-4월 누계)</t>
  </si>
  <si>
    <t>2021년 4월 비철금속 국가별 수입</t>
    <phoneticPr fontId="4" type="noConversion"/>
  </si>
  <si>
    <t>74류~81류 (4월)</t>
    <phoneticPr fontId="4" type="noConversion"/>
  </si>
  <si>
    <t>2021년 1-4월 비철금속 국가별 수입</t>
    <phoneticPr fontId="2" type="noConversion"/>
  </si>
  <si>
    <t>2021년 5월 비철금속 수출 실적</t>
    <phoneticPr fontId="4" type="noConversion"/>
  </si>
  <si>
    <t>2021년 5월 비철금속 수입 실적</t>
    <phoneticPr fontId="4" type="noConversion"/>
  </si>
  <si>
    <t>2021년 5월 비철금속 국가별 수출</t>
    <phoneticPr fontId="4" type="noConversion"/>
  </si>
  <si>
    <t>74류~81류 (5월)</t>
    <phoneticPr fontId="4" type="noConversion"/>
  </si>
  <si>
    <t>2021년 5월 품목별 수입실적</t>
    <phoneticPr fontId="4" type="noConversion"/>
  </si>
  <si>
    <t>2021년 5월 품목별 수출실적</t>
    <phoneticPr fontId="4" type="noConversion"/>
  </si>
  <si>
    <t>2021년 1-5월 비철금속 국가별 수출</t>
    <phoneticPr fontId="2" type="noConversion"/>
  </si>
  <si>
    <t>74류(5월)</t>
  </si>
  <si>
    <t>75류(5월)</t>
  </si>
  <si>
    <t>76류(5월)</t>
  </si>
  <si>
    <t>78류(5월)</t>
  </si>
  <si>
    <t>79류(5월)</t>
  </si>
  <si>
    <t>80류(5월)</t>
  </si>
  <si>
    <t>81류(5월)</t>
  </si>
  <si>
    <t>74류~81류 (1-5월 누계)</t>
  </si>
  <si>
    <t>2021년 5월 비철금속 국가별 수입</t>
    <phoneticPr fontId="4" type="noConversion"/>
  </si>
  <si>
    <t>2021년 1-5월 비철금속 국가별 수입</t>
    <phoneticPr fontId="2" type="noConversion"/>
  </si>
  <si>
    <t>2021년</t>
    <phoneticPr fontId="2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</si>
</sst>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 "/>
    <numFmt numFmtId="177" formatCode="0.0_ ;[Red]\-0.0\ "/>
    <numFmt numFmtId="178" formatCode="#,##0_);[Red]\(#,##0\)"/>
    <numFmt numFmtId="179" formatCode="#,##0.0_ ;[Red]\-#,##0.0\ "/>
    <numFmt numFmtId="180" formatCode="#,##0.0_ "/>
    <numFmt numFmtId="181" formatCode="0_);\(0\)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name val="HY견명조"/>
      <family val="1"/>
      <charset val="129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333399"/>
      <name val="맑은 고딕"/>
      <family val="3"/>
      <charset val="129"/>
      <scheme val="minor"/>
    </font>
    <font>
      <sz val="10"/>
      <color rgb="FFFF8080"/>
      <name val="맑은 고딕"/>
      <family val="3"/>
      <charset val="129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theme="1"/>
      <name val="Times New Roman"/>
      <family val="1"/>
    </font>
    <font>
      <sz val="10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Times New 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맑은 고딕"/>
      <family val="3"/>
      <charset val="129"/>
      <scheme val="major"/>
    </font>
    <font>
      <b/>
      <sz val="11"/>
      <name val="돋움"/>
      <family val="3"/>
      <charset val="129"/>
    </font>
    <font>
      <sz val="11"/>
      <name val="맑은 고딕"/>
      <family val="2"/>
      <charset val="129"/>
      <scheme val="minor"/>
    </font>
    <font>
      <sz val="10"/>
      <color rgb="FFFF8080"/>
      <name val="Times New Roman"/>
      <family val="1"/>
    </font>
    <font>
      <b/>
      <sz val="11"/>
      <color theme="1"/>
      <name val="맑은 고딕"/>
      <family val="3"/>
      <charset val="129"/>
      <scheme val="minor"/>
    </font>
    <font>
      <b/>
      <sz val="10"/>
      <color rgb="FF333399"/>
      <name val="맑은 고딕"/>
      <family val="3"/>
      <charset val="129"/>
      <scheme val="minor"/>
    </font>
    <font>
      <b/>
      <sz val="10"/>
      <color rgb="FFFF8080"/>
      <name val="Times New Roman"/>
      <family val="1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Times New R"/>
    </font>
    <font>
      <b/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6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10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41" fontId="10" fillId="0" borderId="4" xfId="1" applyFont="1" applyFill="1" applyBorder="1" applyAlignment="1">
      <alignment vertical="center"/>
    </xf>
    <xf numFmtId="41" fontId="10" fillId="0" borderId="5" xfId="1" applyFont="1" applyFill="1" applyBorder="1" applyAlignment="1">
      <alignment vertical="center"/>
    </xf>
    <xf numFmtId="0" fontId="5" fillId="0" borderId="0" xfId="0" applyFont="1" applyFill="1" applyBorder="1" applyAlignment="1"/>
    <xf numFmtId="41" fontId="10" fillId="0" borderId="2" xfId="1" applyFont="1" applyFill="1" applyBorder="1" applyAlignment="1">
      <alignment vertical="center"/>
    </xf>
    <xf numFmtId="41" fontId="10" fillId="0" borderId="8" xfId="1" applyFont="1" applyFill="1" applyBorder="1" applyAlignment="1">
      <alignment vertical="center"/>
    </xf>
    <xf numFmtId="177" fontId="10" fillId="0" borderId="7" xfId="0" applyNumberFormat="1" applyFont="1" applyBorder="1">
      <alignment vertical="center"/>
    </xf>
    <xf numFmtId="177" fontId="10" fillId="0" borderId="6" xfId="0" applyNumberFormat="1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41" fontId="10" fillId="0" borderId="7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1" fontId="10" fillId="0" borderId="2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21" xfId="0" applyNumberFormat="1" applyFont="1" applyFill="1" applyBorder="1" applyAlignment="1">
      <alignment horizontal="center" vertical="center"/>
    </xf>
    <xf numFmtId="176" fontId="10" fillId="0" borderId="7" xfId="0" applyNumberFormat="1" applyFont="1" applyBorder="1">
      <alignment vertical="center"/>
    </xf>
    <xf numFmtId="179" fontId="10" fillId="0" borderId="7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176" fontId="5" fillId="0" borderId="6" xfId="0" applyNumberFormat="1" applyFont="1" applyBorder="1" applyAlignment="1">
      <alignment horizontal="distributed" vertical="center"/>
    </xf>
    <xf numFmtId="176" fontId="10" fillId="0" borderId="6" xfId="0" applyNumberFormat="1" applyFont="1" applyBorder="1">
      <alignment vertical="center"/>
    </xf>
    <xf numFmtId="179" fontId="10" fillId="0" borderId="6" xfId="0" applyNumberFormat="1" applyFont="1" applyBorder="1">
      <alignment vertical="center"/>
    </xf>
    <xf numFmtId="176" fontId="5" fillId="0" borderId="6" xfId="0" applyNumberFormat="1" applyFont="1" applyBorder="1" applyAlignment="1">
      <alignment horizontal="center" vertical="center"/>
    </xf>
    <xf numFmtId="41" fontId="10" fillId="0" borderId="7" xfId="1" applyFont="1" applyBorder="1" applyAlignment="1">
      <alignment vertical="center"/>
    </xf>
    <xf numFmtId="178" fontId="5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41" fontId="5" fillId="0" borderId="0" xfId="0" applyNumberFormat="1" applyFont="1">
      <alignment vertical="center"/>
    </xf>
    <xf numFmtId="0" fontId="14" fillId="0" borderId="0" xfId="0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41" fontId="10" fillId="0" borderId="11" xfId="0" applyNumberFormat="1" applyFont="1" applyBorder="1">
      <alignment vertical="center"/>
    </xf>
    <xf numFmtId="0" fontId="5" fillId="0" borderId="2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178" fontId="14" fillId="0" borderId="0" xfId="0" applyNumberFormat="1" applyFont="1">
      <alignment vertical="center"/>
    </xf>
    <xf numFmtId="178" fontId="10" fillId="0" borderId="0" xfId="0" applyNumberFormat="1" applyFont="1">
      <alignment vertical="center"/>
    </xf>
    <xf numFmtId="41" fontId="10" fillId="0" borderId="0" xfId="0" applyNumberFormat="1" applyFont="1">
      <alignment vertical="center"/>
    </xf>
    <xf numFmtId="0" fontId="18" fillId="0" borderId="0" xfId="0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178" fontId="10" fillId="0" borderId="11" xfId="0" applyNumberFormat="1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41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5" fillId="0" borderId="11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9" fontId="10" fillId="0" borderId="37" xfId="0" applyNumberFormat="1" applyFont="1" applyBorder="1">
      <alignment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41" fontId="10" fillId="0" borderId="13" xfId="0" applyNumberFormat="1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1" fontId="21" fillId="0" borderId="7" xfId="0" applyNumberFormat="1" applyFont="1" applyBorder="1">
      <alignment vertical="center"/>
    </xf>
    <xf numFmtId="41" fontId="21" fillId="0" borderId="2" xfId="0" applyNumberFormat="1" applyFont="1" applyBorder="1">
      <alignment vertical="center"/>
    </xf>
    <xf numFmtId="176" fontId="21" fillId="0" borderId="2" xfId="0" applyNumberFormat="1" applyFont="1" applyBorder="1">
      <alignment vertical="center"/>
    </xf>
    <xf numFmtId="0" fontId="13" fillId="0" borderId="0" xfId="0" applyFont="1" applyAlignment="1">
      <alignment horizontal="center" vertical="center"/>
    </xf>
    <xf numFmtId="41" fontId="13" fillId="0" borderId="0" xfId="0" applyNumberFormat="1" applyFont="1">
      <alignment vertical="center"/>
    </xf>
    <xf numFmtId="0" fontId="5" fillId="0" borderId="11" xfId="0" applyNumberFormat="1" applyFont="1" applyBorder="1" applyAlignment="1">
      <alignment horizontal="distributed" vertical="center"/>
    </xf>
    <xf numFmtId="41" fontId="21" fillId="0" borderId="11" xfId="0" applyNumberFormat="1" applyFont="1" applyBorder="1">
      <alignment vertical="center"/>
    </xf>
    <xf numFmtId="0" fontId="5" fillId="0" borderId="7" xfId="0" applyNumberFormat="1" applyFont="1" applyBorder="1" applyAlignment="1">
      <alignment horizontal="distributed" vertical="center"/>
    </xf>
    <xf numFmtId="41" fontId="21" fillId="0" borderId="31" xfId="0" applyNumberFormat="1" applyFont="1" applyBorder="1">
      <alignment vertical="center"/>
    </xf>
    <xf numFmtId="41" fontId="21" fillId="0" borderId="6" xfId="0" applyNumberFormat="1" applyFont="1" applyBorder="1">
      <alignment vertical="center"/>
    </xf>
    <xf numFmtId="41" fontId="21" fillId="0" borderId="1" xfId="0" applyNumberFormat="1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21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1" fontId="22" fillId="0" borderId="11" xfId="0" applyNumberFormat="1" applyFont="1" applyBorder="1">
      <alignment vertical="center"/>
    </xf>
    <xf numFmtId="177" fontId="22" fillId="0" borderId="11" xfId="0" applyNumberFormat="1" applyFont="1" applyBorder="1">
      <alignment vertical="center"/>
    </xf>
    <xf numFmtId="0" fontId="18" fillId="0" borderId="6" xfId="0" applyFont="1" applyBorder="1" applyAlignment="1">
      <alignment horizontal="center" vertical="center"/>
    </xf>
    <xf numFmtId="41" fontId="22" fillId="0" borderId="6" xfId="0" applyNumberFormat="1" applyFont="1" applyBorder="1">
      <alignment vertical="center"/>
    </xf>
    <xf numFmtId="177" fontId="22" fillId="0" borderId="6" xfId="0" applyNumberFormat="1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41" fontId="23" fillId="0" borderId="11" xfId="0" applyNumberFormat="1" applyFont="1" applyBorder="1">
      <alignment vertical="center"/>
    </xf>
    <xf numFmtId="177" fontId="23" fillId="0" borderId="11" xfId="0" applyNumberFormat="1" applyFont="1" applyBorder="1">
      <alignment vertical="center"/>
    </xf>
    <xf numFmtId="0" fontId="13" fillId="0" borderId="19" xfId="0" applyFont="1" applyBorder="1" applyAlignment="1">
      <alignment horizontal="center" vertical="center"/>
    </xf>
    <xf numFmtId="41" fontId="23" fillId="0" borderId="19" xfId="0" applyNumberFormat="1" applyFont="1" applyBorder="1">
      <alignment vertical="center"/>
    </xf>
    <xf numFmtId="177" fontId="23" fillId="0" borderId="19" xfId="0" applyNumberFormat="1" applyFont="1" applyBorder="1">
      <alignment vertical="center"/>
    </xf>
    <xf numFmtId="0" fontId="18" fillId="0" borderId="7" xfId="0" applyFont="1" applyBorder="1" applyAlignment="1">
      <alignment horizontal="center" vertical="center"/>
    </xf>
    <xf numFmtId="41" fontId="22" fillId="0" borderId="7" xfId="0" applyNumberFormat="1" applyFont="1" applyBorder="1">
      <alignment vertical="center"/>
    </xf>
    <xf numFmtId="177" fontId="22" fillId="0" borderId="7" xfId="0" applyNumberFormat="1" applyFont="1" applyBorder="1">
      <alignment vertical="center"/>
    </xf>
    <xf numFmtId="0" fontId="18" fillId="0" borderId="22" xfId="0" applyFont="1" applyBorder="1" applyAlignment="1">
      <alignment horizontal="center" vertical="center"/>
    </xf>
    <xf numFmtId="41" fontId="22" fillId="0" borderId="22" xfId="0" applyNumberFormat="1" applyFont="1" applyBorder="1">
      <alignment vertical="center"/>
    </xf>
    <xf numFmtId="177" fontId="22" fillId="0" borderId="22" xfId="0" applyNumberFormat="1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178" fontId="10" fillId="0" borderId="9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8" fontId="11" fillId="0" borderId="43" xfId="0" applyNumberFormat="1" applyFont="1" applyBorder="1">
      <alignment vertical="center"/>
    </xf>
    <xf numFmtId="176" fontId="11" fillId="0" borderId="43" xfId="0" applyNumberFormat="1" applyFont="1" applyBorder="1">
      <alignment vertical="center"/>
    </xf>
    <xf numFmtId="178" fontId="11" fillId="0" borderId="9" xfId="0" applyNumberFormat="1" applyFont="1" applyBorder="1">
      <alignment vertical="center"/>
    </xf>
    <xf numFmtId="176" fontId="11" fillId="0" borderId="9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0" fontId="25" fillId="0" borderId="0" xfId="0" applyFont="1">
      <alignment vertical="center"/>
    </xf>
    <xf numFmtId="0" fontId="5" fillId="0" borderId="44" xfId="0" applyFont="1" applyBorder="1" applyAlignment="1">
      <alignment horizontal="center" vertical="center"/>
    </xf>
    <xf numFmtId="176" fontId="10" fillId="0" borderId="44" xfId="0" applyNumberFormat="1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176" fontId="11" fillId="0" borderId="10" xfId="0" applyNumberFormat="1" applyFont="1" applyBorder="1">
      <alignment vertical="center"/>
    </xf>
    <xf numFmtId="178" fontId="10" fillId="0" borderId="45" xfId="0" applyNumberFormat="1" applyFont="1" applyBorder="1">
      <alignment vertical="center"/>
    </xf>
    <xf numFmtId="179" fontId="24" fillId="2" borderId="3" xfId="0" applyNumberFormat="1" applyFont="1" applyFill="1" applyBorder="1" applyAlignment="1">
      <alignment horizontal="center" vertical="center"/>
    </xf>
    <xf numFmtId="179" fontId="10" fillId="0" borderId="42" xfId="0" applyNumberFormat="1" applyFont="1" applyBorder="1">
      <alignment vertical="center"/>
    </xf>
    <xf numFmtId="179" fontId="10" fillId="0" borderId="9" xfId="0" applyNumberFormat="1" applyFont="1" applyBorder="1">
      <alignment vertical="center"/>
    </xf>
    <xf numFmtId="179" fontId="10" fillId="0" borderId="12" xfId="0" applyNumberFormat="1" applyFont="1" applyBorder="1">
      <alignment vertical="center"/>
    </xf>
    <xf numFmtId="179" fontId="11" fillId="0" borderId="43" xfId="0" applyNumberFormat="1" applyFont="1" applyBorder="1">
      <alignment vertical="center"/>
    </xf>
    <xf numFmtId="179" fontId="11" fillId="0" borderId="9" xfId="0" applyNumberFormat="1" applyFont="1" applyBorder="1">
      <alignment vertical="center"/>
    </xf>
    <xf numFmtId="179" fontId="11" fillId="0" borderId="6" xfId="0" applyNumberFormat="1" applyFont="1" applyBorder="1">
      <alignment vertical="center"/>
    </xf>
    <xf numFmtId="179" fontId="25" fillId="0" borderId="0" xfId="0" applyNumberFormat="1" applyFont="1">
      <alignment vertical="center"/>
    </xf>
    <xf numFmtId="179" fontId="10" fillId="0" borderId="14" xfId="0" applyNumberFormat="1" applyFont="1" applyBorder="1">
      <alignment vertical="center"/>
    </xf>
    <xf numFmtId="179" fontId="10" fillId="0" borderId="44" xfId="0" applyNumberFormat="1" applyFont="1" applyBorder="1">
      <alignment vertical="center"/>
    </xf>
    <xf numFmtId="179" fontId="10" fillId="0" borderId="10" xfId="0" applyNumberFormat="1" applyFont="1" applyBorder="1">
      <alignment vertical="center"/>
    </xf>
    <xf numFmtId="179" fontId="11" fillId="0" borderId="10" xfId="0" applyNumberFormat="1" applyFont="1" applyBorder="1">
      <alignment vertical="center"/>
    </xf>
    <xf numFmtId="179" fontId="0" fillId="0" borderId="0" xfId="0" applyNumberFormat="1">
      <alignment vertical="center"/>
    </xf>
    <xf numFmtId="176" fontId="10" fillId="0" borderId="11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78" fontId="6" fillId="0" borderId="0" xfId="0" applyNumberFormat="1" applyFont="1" applyAlignment="1">
      <alignment vertical="center"/>
    </xf>
    <xf numFmtId="41" fontId="5" fillId="0" borderId="0" xfId="0" applyNumberFormat="1" applyFont="1" applyAlignment="1"/>
    <xf numFmtId="0" fontId="5" fillId="0" borderId="12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1" fontId="13" fillId="0" borderId="0" xfId="0" applyNumberFormat="1" applyFont="1" applyFill="1" applyBorder="1" applyAlignment="1">
      <alignment horizontal="center" vertical="center"/>
    </xf>
    <xf numFmtId="41" fontId="10" fillId="0" borderId="31" xfId="1" applyFont="1" applyBorder="1">
      <alignment vertical="center"/>
    </xf>
    <xf numFmtId="41" fontId="10" fillId="0" borderId="37" xfId="1" applyFont="1" applyBorder="1">
      <alignment vertical="center"/>
    </xf>
    <xf numFmtId="41" fontId="21" fillId="0" borderId="31" xfId="1" applyFont="1" applyBorder="1">
      <alignment vertical="center"/>
    </xf>
    <xf numFmtId="41" fontId="10" fillId="0" borderId="9" xfId="1" applyFont="1" applyBorder="1" applyAlignment="1">
      <alignment vertical="center"/>
    </xf>
    <xf numFmtId="41" fontId="10" fillId="0" borderId="10" xfId="1" applyFont="1" applyBorder="1" applyAlignment="1">
      <alignment vertical="center"/>
    </xf>
    <xf numFmtId="41" fontId="10" fillId="0" borderId="11" xfId="1" applyFont="1" applyBorder="1" applyAlignment="1">
      <alignment vertical="center"/>
    </xf>
    <xf numFmtId="41" fontId="10" fillId="0" borderId="12" xfId="1" applyFont="1" applyBorder="1" applyAlignment="1">
      <alignment vertical="center"/>
    </xf>
    <xf numFmtId="41" fontId="10" fillId="0" borderId="6" xfId="1" applyFont="1" applyBorder="1" applyAlignment="1">
      <alignment vertical="center"/>
    </xf>
    <xf numFmtId="41" fontId="11" fillId="0" borderId="12" xfId="1" applyFont="1" applyBorder="1" applyAlignment="1">
      <alignment vertical="center"/>
    </xf>
    <xf numFmtId="41" fontId="11" fillId="0" borderId="9" xfId="1" applyFont="1" applyBorder="1" applyAlignment="1">
      <alignment vertical="center"/>
    </xf>
    <xf numFmtId="41" fontId="11" fillId="0" borderId="6" xfId="1" applyFont="1" applyBorder="1" applyAlignment="1">
      <alignment vertical="center"/>
    </xf>
    <xf numFmtId="41" fontId="10" fillId="0" borderId="7" xfId="1" applyFont="1" applyBorder="1">
      <alignment vertical="center"/>
    </xf>
    <xf numFmtId="41" fontId="10" fillId="0" borderId="11" xfId="1" applyFont="1" applyBorder="1">
      <alignment vertical="center"/>
    </xf>
    <xf numFmtId="41" fontId="10" fillId="0" borderId="14" xfId="1" applyFont="1" applyBorder="1" applyAlignment="1">
      <alignment vertical="center"/>
    </xf>
    <xf numFmtId="41" fontId="10" fillId="0" borderId="12" xfId="1" applyFont="1" applyFill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7" fontId="10" fillId="0" borderId="7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178" fontId="11" fillId="0" borderId="12" xfId="0" applyNumberFormat="1" applyFont="1" applyBorder="1" applyAlignment="1">
      <alignment vertical="center"/>
    </xf>
    <xf numFmtId="178" fontId="11" fillId="0" borderId="9" xfId="0" applyNumberFormat="1" applyFont="1" applyBorder="1" applyAlignment="1">
      <alignment vertical="center"/>
    </xf>
    <xf numFmtId="178" fontId="11" fillId="0" borderId="6" xfId="0" applyNumberFormat="1" applyFont="1" applyBorder="1" applyAlignment="1">
      <alignment vertical="center"/>
    </xf>
    <xf numFmtId="41" fontId="21" fillId="0" borderId="4" xfId="1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181" fontId="13" fillId="0" borderId="0" xfId="0" applyNumberFormat="1" applyFont="1">
      <alignment vertical="center"/>
    </xf>
    <xf numFmtId="0" fontId="26" fillId="0" borderId="0" xfId="0" applyFo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77" fontId="10" fillId="0" borderId="2" xfId="0" applyNumberFormat="1" applyFont="1" applyBorder="1">
      <alignment vertical="center"/>
    </xf>
    <xf numFmtId="0" fontId="0" fillId="0" borderId="0" xfId="0">
      <alignment vertical="center"/>
    </xf>
    <xf numFmtId="41" fontId="5" fillId="0" borderId="0" xfId="0" applyNumberFormat="1" applyFont="1">
      <alignment vertical="center"/>
    </xf>
    <xf numFmtId="41" fontId="14" fillId="0" borderId="0" xfId="0" applyNumberFormat="1" applyFont="1" applyAlignment="1">
      <alignment horizontal="right" vertical="center"/>
    </xf>
    <xf numFmtId="41" fontId="14" fillId="0" borderId="0" xfId="0" applyNumberFormat="1" applyFont="1">
      <alignment vertical="center"/>
    </xf>
    <xf numFmtId="179" fontId="10" fillId="0" borderId="29" xfId="0" applyNumberFormat="1" applyFont="1" applyBorder="1">
      <alignment vertical="center"/>
    </xf>
    <xf numFmtId="179" fontId="10" fillId="0" borderId="31" xfId="0" applyNumberFormat="1" applyFont="1" applyBorder="1">
      <alignment vertical="center"/>
    </xf>
    <xf numFmtId="179" fontId="10" fillId="0" borderId="25" xfId="0" applyNumberFormat="1" applyFont="1" applyBorder="1">
      <alignment vertical="center"/>
    </xf>
    <xf numFmtId="179" fontId="5" fillId="0" borderId="0" xfId="0" applyNumberFormat="1" applyFont="1">
      <alignment vertical="center"/>
    </xf>
    <xf numFmtId="179" fontId="14" fillId="0" borderId="0" xfId="0" applyNumberFormat="1" applyFont="1" applyAlignment="1">
      <alignment horizontal="right" vertical="center"/>
    </xf>
    <xf numFmtId="179" fontId="14" fillId="0" borderId="0" xfId="0" applyNumberFormat="1" applyFont="1">
      <alignment vertical="center"/>
    </xf>
    <xf numFmtId="179" fontId="5" fillId="0" borderId="0" xfId="0" applyNumberFormat="1" applyFont="1" applyAlignment="1">
      <alignment horizontal="right" vertical="center"/>
    </xf>
    <xf numFmtId="179" fontId="6" fillId="0" borderId="0" xfId="0" applyNumberFormat="1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179" fontId="10" fillId="0" borderId="31" xfId="0" applyNumberFormat="1" applyFont="1" applyBorder="1">
      <alignment vertical="center"/>
    </xf>
    <xf numFmtId="179" fontId="10" fillId="0" borderId="25" xfId="0" applyNumberFormat="1" applyFont="1" applyBorder="1">
      <alignment vertical="center"/>
    </xf>
    <xf numFmtId="179" fontId="14" fillId="0" borderId="0" xfId="0" applyNumberFormat="1" applyFont="1" applyAlignment="1">
      <alignment horizontal="right" vertical="center"/>
    </xf>
    <xf numFmtId="0" fontId="20" fillId="0" borderId="0" xfId="0" applyFont="1">
      <alignment vertical="center"/>
    </xf>
    <xf numFmtId="41" fontId="10" fillId="0" borderId="24" xfId="0" applyNumberFormat="1" applyFont="1" applyFill="1" applyBorder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179" fontId="17" fillId="2" borderId="25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41" fontId="21" fillId="0" borderId="27" xfId="0" applyNumberFormat="1" applyFont="1" applyBorder="1">
      <alignment vertical="center"/>
    </xf>
    <xf numFmtId="41" fontId="21" fillId="0" borderId="32" xfId="0" applyNumberFormat="1" applyFont="1" applyBorder="1">
      <alignment vertical="center"/>
    </xf>
    <xf numFmtId="179" fontId="21" fillId="0" borderId="25" xfId="0" applyNumberFormat="1" applyFont="1" applyBorder="1">
      <alignment vertical="center"/>
    </xf>
    <xf numFmtId="179" fontId="21" fillId="0" borderId="4" xfId="0" applyNumberFormat="1" applyFont="1" applyBorder="1">
      <alignment vertical="center"/>
    </xf>
    <xf numFmtId="0" fontId="0" fillId="0" borderId="0" xfId="0">
      <alignment vertical="center"/>
    </xf>
    <xf numFmtId="180" fontId="5" fillId="0" borderId="0" xfId="0" applyNumberFormat="1" applyFont="1" applyAlignment="1">
      <alignment horizontal="right" vertical="center"/>
    </xf>
    <xf numFmtId="180" fontId="21" fillId="0" borderId="31" xfId="0" applyNumberFormat="1" applyFont="1" applyBorder="1">
      <alignment vertical="center"/>
    </xf>
    <xf numFmtId="180" fontId="21" fillId="0" borderId="25" xfId="0" applyNumberFormat="1" applyFont="1" applyBorder="1">
      <alignment vertical="center"/>
    </xf>
    <xf numFmtId="180" fontId="13" fillId="0" borderId="0" xfId="0" applyNumberFormat="1" applyFont="1">
      <alignment vertical="center"/>
    </xf>
    <xf numFmtId="177" fontId="21" fillId="0" borderId="13" xfId="0" applyNumberFormat="1" applyFont="1" applyBorder="1">
      <alignment vertical="center"/>
    </xf>
    <xf numFmtId="177" fontId="21" fillId="0" borderId="4" xfId="0" applyNumberFormat="1" applyFont="1" applyBorder="1">
      <alignment vertical="center"/>
    </xf>
    <xf numFmtId="177" fontId="21" fillId="0" borderId="31" xfId="0" applyNumberFormat="1" applyFont="1" applyBorder="1">
      <alignment vertical="center"/>
    </xf>
    <xf numFmtId="177" fontId="21" fillId="0" borderId="25" xfId="0" applyNumberFormat="1" applyFont="1" applyBorder="1">
      <alignment vertical="center"/>
    </xf>
    <xf numFmtId="0" fontId="0" fillId="0" borderId="0" xfId="0">
      <alignment vertical="center"/>
    </xf>
    <xf numFmtId="180" fontId="5" fillId="0" borderId="0" xfId="0" applyNumberFormat="1" applyFont="1" applyAlignment="1">
      <alignment horizontal="right" vertical="center"/>
    </xf>
    <xf numFmtId="180" fontId="21" fillId="0" borderId="25" xfId="0" applyNumberFormat="1" applyFont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0" fillId="0" borderId="0" xfId="0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8" xfId="0" applyNumberFormat="1" applyFont="1" applyBorder="1">
      <alignment vertical="center"/>
    </xf>
    <xf numFmtId="180" fontId="13" fillId="0" borderId="0" xfId="0" applyNumberFormat="1" applyFont="1">
      <alignment vertical="center"/>
    </xf>
    <xf numFmtId="180" fontId="6" fillId="0" borderId="0" xfId="0" applyNumberFormat="1" applyFont="1">
      <alignment vertical="center"/>
    </xf>
    <xf numFmtId="41" fontId="5" fillId="0" borderId="0" xfId="0" applyNumberFormat="1" applyFont="1" applyAlignment="1">
      <alignment horizontal="right" vertical="center"/>
    </xf>
    <xf numFmtId="41" fontId="6" fillId="0" borderId="0" xfId="0" applyNumberFormat="1" applyFont="1">
      <alignment vertical="center"/>
    </xf>
    <xf numFmtId="41" fontId="10" fillId="0" borderId="15" xfId="0" applyNumberFormat="1" applyFont="1" applyBorder="1">
      <alignment vertical="center"/>
    </xf>
    <xf numFmtId="41" fontId="10" fillId="0" borderId="18" xfId="0" applyNumberFormat="1" applyFont="1" applyBorder="1">
      <alignment vertical="center"/>
    </xf>
    <xf numFmtId="41" fontId="10" fillId="0" borderId="0" xfId="0" applyNumberFormat="1" applyFont="1" applyBorder="1">
      <alignment vertical="center"/>
    </xf>
    <xf numFmtId="0" fontId="0" fillId="0" borderId="0" xfId="0">
      <alignment vertical="center"/>
    </xf>
    <xf numFmtId="177" fontId="5" fillId="0" borderId="0" xfId="0" applyNumberFormat="1" applyFont="1" applyAlignment="1">
      <alignment horizontal="right" vertical="center"/>
    </xf>
    <xf numFmtId="177" fontId="10" fillId="0" borderId="13" xfId="0" applyNumberFormat="1" applyFont="1" applyBorder="1">
      <alignment vertical="center"/>
    </xf>
    <xf numFmtId="177" fontId="10" fillId="0" borderId="4" xfId="0" applyNumberFormat="1" applyFont="1" applyBorder="1">
      <alignment vertical="center"/>
    </xf>
    <xf numFmtId="177" fontId="10" fillId="0" borderId="8" xfId="0" applyNumberFormat="1" applyFont="1" applyBorder="1">
      <alignment vertical="center"/>
    </xf>
    <xf numFmtId="41" fontId="21" fillId="0" borderId="37" xfId="1" applyFont="1" applyBorder="1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41" fontId="10" fillId="0" borderId="24" xfId="0" applyNumberFormat="1" applyFont="1" applyBorder="1">
      <alignment vertical="center"/>
    </xf>
    <xf numFmtId="41" fontId="22" fillId="0" borderId="11" xfId="0" applyNumberFormat="1" applyFont="1" applyBorder="1">
      <alignment vertical="center"/>
    </xf>
    <xf numFmtId="41" fontId="22" fillId="0" borderId="6" xfId="0" applyNumberFormat="1" applyFont="1" applyBorder="1">
      <alignment vertical="center"/>
    </xf>
    <xf numFmtId="41" fontId="23" fillId="0" borderId="11" xfId="0" applyNumberFormat="1" applyFont="1" applyBorder="1">
      <alignment vertical="center"/>
    </xf>
    <xf numFmtId="41" fontId="23" fillId="0" borderId="19" xfId="0" applyNumberFormat="1" applyFont="1" applyBorder="1">
      <alignment vertical="center"/>
    </xf>
    <xf numFmtId="41" fontId="22" fillId="0" borderId="7" xfId="0" applyNumberFormat="1" applyFont="1" applyBorder="1">
      <alignment vertical="center"/>
    </xf>
    <xf numFmtId="41" fontId="22" fillId="0" borderId="22" xfId="0" applyNumberFormat="1" applyFont="1" applyBorder="1">
      <alignment vertical="center"/>
    </xf>
    <xf numFmtId="177" fontId="5" fillId="0" borderId="0" xfId="0" applyNumberFormat="1" applyFont="1" applyAlignment="1">
      <alignment horizontal="right" vertical="center"/>
    </xf>
    <xf numFmtId="177" fontId="10" fillId="0" borderId="13" xfId="0" applyNumberFormat="1" applyFont="1" applyBorder="1">
      <alignment vertical="center"/>
    </xf>
    <xf numFmtId="177" fontId="10" fillId="0" borderId="4" xfId="0" applyNumberFormat="1" applyFont="1" applyBorder="1">
      <alignment vertical="center"/>
    </xf>
    <xf numFmtId="177" fontId="10" fillId="0" borderId="8" xfId="0" applyNumberFormat="1" applyFont="1" applyBorder="1">
      <alignment vertical="center"/>
    </xf>
    <xf numFmtId="177" fontId="6" fillId="2" borderId="8" xfId="0" applyNumberFormat="1" applyFont="1" applyFill="1" applyBorder="1" applyAlignment="1">
      <alignment horizontal="center" vertical="center"/>
    </xf>
    <xf numFmtId="41" fontId="26" fillId="0" borderId="0" xfId="0" applyNumberFormat="1" applyFont="1">
      <alignment vertical="center"/>
    </xf>
    <xf numFmtId="176" fontId="10" fillId="0" borderId="14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26" fillId="0" borderId="0" xfId="0" applyNumberFormat="1" applyFont="1">
      <alignment vertical="center"/>
    </xf>
    <xf numFmtId="0" fontId="26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1" fontId="10" fillId="0" borderId="30" xfId="1" applyFont="1" applyBorder="1">
      <alignment vertical="center"/>
    </xf>
    <xf numFmtId="41" fontId="10" fillId="0" borderId="2" xfId="1" applyFont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41" fontId="10" fillId="0" borderId="7" xfId="1" applyFont="1" applyFill="1" applyBorder="1">
      <alignment vertical="center"/>
    </xf>
    <xf numFmtId="41" fontId="10" fillId="0" borderId="30" xfId="0" applyNumberFormat="1" applyFont="1" applyFill="1" applyBorder="1">
      <alignment vertical="center"/>
    </xf>
    <xf numFmtId="179" fontId="10" fillId="0" borderId="31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distributed" vertical="center"/>
    </xf>
    <xf numFmtId="179" fontId="10" fillId="0" borderId="25" xfId="0" applyNumberFormat="1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41" fontId="10" fillId="0" borderId="11" xfId="1" applyFont="1" applyFill="1" applyBorder="1">
      <alignment vertical="center"/>
    </xf>
    <xf numFmtId="41" fontId="10" fillId="0" borderId="38" xfId="0" applyNumberFormat="1" applyFont="1" applyFill="1" applyBorder="1">
      <alignment vertical="center"/>
    </xf>
    <xf numFmtId="41" fontId="10" fillId="0" borderId="34" xfId="0" applyNumberFormat="1" applyFont="1" applyFill="1" applyBorder="1">
      <alignment vertical="center"/>
    </xf>
    <xf numFmtId="179" fontId="10" fillId="0" borderId="29" xfId="0" applyNumberFormat="1" applyFont="1" applyFill="1" applyBorder="1">
      <alignment vertical="center"/>
    </xf>
    <xf numFmtId="41" fontId="10" fillId="0" borderId="30" xfId="1" applyFont="1" applyFill="1" applyBorder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41" fontId="10" fillId="0" borderId="7" xfId="0" applyNumberFormat="1" applyFont="1" applyFill="1" applyBorder="1">
      <alignment vertical="center"/>
    </xf>
    <xf numFmtId="41" fontId="21" fillId="0" borderId="7" xfId="0" applyNumberFormat="1" applyFont="1" applyFill="1" applyBorder="1">
      <alignment vertical="center"/>
    </xf>
    <xf numFmtId="41" fontId="21" fillId="0" borderId="25" xfId="0" applyNumberFormat="1" applyFont="1" applyBorder="1">
      <alignment vertical="center"/>
    </xf>
    <xf numFmtId="41" fontId="21" fillId="0" borderId="37" xfId="0" applyNumberFormat="1" applyFont="1" applyBorder="1">
      <alignment vertical="center"/>
    </xf>
    <xf numFmtId="41" fontId="21" fillId="0" borderId="25" xfId="0" applyNumberFormat="1" applyFont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distributed" vertical="center"/>
    </xf>
    <xf numFmtId="177" fontId="21" fillId="0" borderId="31" xfId="0" applyNumberFormat="1" applyFont="1" applyFill="1" applyBorder="1">
      <alignment vertical="center"/>
    </xf>
    <xf numFmtId="180" fontId="21" fillId="0" borderId="31" xfId="0" applyNumberFormat="1" applyFont="1" applyFill="1" applyBorder="1">
      <alignment vertical="center"/>
    </xf>
    <xf numFmtId="41" fontId="21" fillId="0" borderId="4" xfId="0" applyNumberFormat="1" applyFont="1" applyBorder="1">
      <alignment vertical="center"/>
    </xf>
    <xf numFmtId="41" fontId="21" fillId="0" borderId="5" xfId="0" applyNumberFormat="1" applyFont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41" fontId="21" fillId="0" borderId="2" xfId="0" applyNumberFormat="1" applyFont="1" applyFill="1" applyBorder="1">
      <alignment vertical="center"/>
    </xf>
    <xf numFmtId="177" fontId="21" fillId="0" borderId="25" xfId="0" applyNumberFormat="1" applyFont="1" applyFill="1" applyBorder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41" fontId="21" fillId="0" borderId="11" xfId="0" applyNumberFormat="1" applyFont="1" applyFill="1" applyBorder="1">
      <alignment vertical="center"/>
    </xf>
    <xf numFmtId="180" fontId="21" fillId="0" borderId="13" xfId="0" applyNumberFormat="1" applyFont="1" applyFill="1" applyBorder="1">
      <alignment vertical="center"/>
    </xf>
    <xf numFmtId="176" fontId="21" fillId="0" borderId="4" xfId="0" applyNumberFormat="1" applyFont="1" applyFill="1" applyBorder="1">
      <alignment vertical="center"/>
    </xf>
    <xf numFmtId="49" fontId="6" fillId="0" borderId="0" xfId="0" applyNumberFormat="1" applyFont="1">
      <alignment vertical="center"/>
    </xf>
    <xf numFmtId="41" fontId="10" fillId="0" borderId="7" xfId="1" applyFont="1" applyBorder="1" applyAlignment="1">
      <alignment horizontal="left" vertical="center"/>
    </xf>
    <xf numFmtId="41" fontId="10" fillId="0" borderId="6" xfId="0" applyNumberFormat="1" applyFont="1" applyBorder="1">
      <alignment vertical="center"/>
    </xf>
    <xf numFmtId="41" fontId="10" fillId="0" borderId="4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26" fillId="0" borderId="0" xfId="0" applyNumberFormat="1" applyFont="1" applyAlignment="1">
      <alignment horizontal="right" vertical="center"/>
    </xf>
    <xf numFmtId="41" fontId="10" fillId="0" borderId="13" xfId="1" applyFont="1" applyFill="1" applyBorder="1">
      <alignment vertical="center"/>
    </xf>
    <xf numFmtId="41" fontId="10" fillId="0" borderId="8" xfId="1" applyFont="1" applyBorder="1">
      <alignment vertical="center"/>
    </xf>
    <xf numFmtId="41" fontId="10" fillId="0" borderId="38" xfId="1" applyFont="1" applyBorder="1">
      <alignment vertical="center"/>
    </xf>
    <xf numFmtId="41" fontId="10" fillId="0" borderId="4" xfId="1" applyFont="1" applyFill="1" applyBorder="1">
      <alignment vertical="center"/>
    </xf>
    <xf numFmtId="41" fontId="10" fillId="0" borderId="8" xfId="1" applyFont="1" applyFill="1" applyBorder="1">
      <alignment vertical="center"/>
    </xf>
    <xf numFmtId="41" fontId="10" fillId="0" borderId="2" xfId="1" applyFont="1" applyFill="1" applyBorder="1">
      <alignment vertical="center"/>
    </xf>
    <xf numFmtId="41" fontId="10" fillId="0" borderId="13" xfId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41" fontId="10" fillId="0" borderId="30" xfId="0" applyNumberFormat="1" applyFont="1" applyBorder="1">
      <alignment vertical="center"/>
    </xf>
    <xf numFmtId="41" fontId="10" fillId="0" borderId="38" xfId="0" applyNumberFormat="1" applyFont="1" applyBorder="1">
      <alignment vertical="center"/>
    </xf>
    <xf numFmtId="41" fontId="21" fillId="0" borderId="34" xfId="0" applyNumberFormat="1" applyFont="1" applyBorder="1">
      <alignment vertical="center"/>
    </xf>
    <xf numFmtId="41" fontId="21" fillId="0" borderId="28" xfId="0" applyNumberFormat="1" applyFont="1" applyBorder="1">
      <alignment vertical="center"/>
    </xf>
    <xf numFmtId="41" fontId="21" fillId="0" borderId="24" xfId="0" applyNumberFormat="1" applyFont="1" applyBorder="1">
      <alignment vertical="center"/>
    </xf>
    <xf numFmtId="41" fontId="10" fillId="0" borderId="28" xfId="0" applyNumberFormat="1" applyFont="1" applyFill="1" applyBorder="1">
      <alignment vertical="center"/>
    </xf>
    <xf numFmtId="41" fontId="10" fillId="0" borderId="34" xfId="0" applyNumberFormat="1" applyFont="1" applyBorder="1">
      <alignment vertical="center"/>
    </xf>
    <xf numFmtId="41" fontId="10" fillId="0" borderId="28" xfId="0" applyNumberFormat="1" applyFont="1" applyBorder="1">
      <alignment vertical="center"/>
    </xf>
    <xf numFmtId="0" fontId="31" fillId="0" borderId="0" xfId="0" applyFont="1">
      <alignment vertical="center"/>
    </xf>
    <xf numFmtId="176" fontId="15" fillId="0" borderId="2" xfId="0" applyNumberFormat="1" applyFont="1" applyBorder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10" fillId="0" borderId="26" xfId="1" applyFont="1" applyBorder="1">
      <alignment vertical="center"/>
    </xf>
    <xf numFmtId="41" fontId="10" fillId="0" borderId="24" xfId="1" applyFont="1" applyBorder="1">
      <alignment vertical="center"/>
    </xf>
    <xf numFmtId="41" fontId="10" fillId="0" borderId="26" xfId="1" applyFont="1" applyFill="1" applyBorder="1">
      <alignment vertical="center"/>
    </xf>
    <xf numFmtId="41" fontId="10" fillId="0" borderId="24" xfId="1" applyFont="1" applyFill="1" applyBorder="1">
      <alignment vertical="center"/>
    </xf>
    <xf numFmtId="41" fontId="10" fillId="0" borderId="26" xfId="0" applyNumberFormat="1" applyFont="1" applyBorder="1">
      <alignment vertical="center"/>
    </xf>
    <xf numFmtId="41" fontId="10" fillId="0" borderId="26" xfId="0" applyNumberFormat="1" applyFont="1" applyFill="1" applyBorder="1">
      <alignment vertical="center"/>
    </xf>
    <xf numFmtId="41" fontId="21" fillId="0" borderId="23" xfId="0" applyNumberFormat="1" applyFont="1" applyBorder="1">
      <alignment vertical="center"/>
    </xf>
    <xf numFmtId="41" fontId="21" fillId="0" borderId="33" xfId="0" applyNumberFormat="1" applyFont="1" applyBorder="1">
      <alignment vertical="center"/>
    </xf>
    <xf numFmtId="41" fontId="21" fillId="0" borderId="40" xfId="0" applyNumberFormat="1" applyFont="1" applyBorder="1">
      <alignment vertical="center"/>
    </xf>
    <xf numFmtId="41" fontId="21" fillId="0" borderId="26" xfId="0" applyNumberFormat="1" applyFont="1" applyBorder="1">
      <alignment vertical="center"/>
    </xf>
    <xf numFmtId="41" fontId="10" fillId="0" borderId="6" xfId="1" applyFont="1" applyBorder="1">
      <alignment vertical="center"/>
    </xf>
    <xf numFmtId="41" fontId="10" fillId="0" borderId="28" xfId="1" applyFont="1" applyBorder="1">
      <alignment vertical="center"/>
    </xf>
    <xf numFmtId="41" fontId="10" fillId="0" borderId="34" xfId="1" applyFont="1" applyBorder="1">
      <alignment vertical="center"/>
    </xf>
    <xf numFmtId="41" fontId="10" fillId="0" borderId="28" xfId="1" applyFont="1" applyFill="1" applyBorder="1">
      <alignment vertical="center"/>
    </xf>
    <xf numFmtId="41" fontId="21" fillId="0" borderId="30" xfId="0" applyNumberFormat="1" applyFont="1" applyBorder="1">
      <alignment vertical="center"/>
    </xf>
    <xf numFmtId="41" fontId="21" fillId="0" borderId="18" xfId="0" applyNumberFormat="1" applyFont="1" applyBorder="1">
      <alignment vertical="center"/>
    </xf>
    <xf numFmtId="41" fontId="21" fillId="0" borderId="0" xfId="0" applyNumberFormat="1" applyFont="1" applyBorder="1">
      <alignment vertical="center"/>
    </xf>
    <xf numFmtId="41" fontId="21" fillId="0" borderId="15" xfId="0" applyNumberFormat="1" applyFont="1" applyBorder="1">
      <alignment vertical="center"/>
    </xf>
    <xf numFmtId="41" fontId="21" fillId="0" borderId="0" xfId="0" applyNumberFormat="1" applyFont="1" applyFill="1" applyBorder="1">
      <alignment vertical="center"/>
    </xf>
    <xf numFmtId="41" fontId="21" fillId="0" borderId="15" xfId="0" applyNumberFormat="1" applyFont="1" applyFill="1" applyBorder="1">
      <alignment vertical="center"/>
    </xf>
    <xf numFmtId="41" fontId="21" fillId="0" borderId="18" xfId="0" applyNumberFormat="1" applyFont="1" applyFill="1" applyBorder="1">
      <alignment vertical="center"/>
    </xf>
    <xf numFmtId="41" fontId="21" fillId="0" borderId="30" xfId="0" applyNumberFormat="1" applyFont="1" applyFill="1" applyBorder="1">
      <alignment vertical="center"/>
    </xf>
    <xf numFmtId="41" fontId="21" fillId="0" borderId="26" xfId="0" applyNumberFormat="1" applyFont="1" applyBorder="1" applyAlignment="1">
      <alignment horizontal="right" vertical="center"/>
    </xf>
    <xf numFmtId="41" fontId="10" fillId="0" borderId="0" xfId="0" applyNumberFormat="1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10" fillId="0" borderId="7" xfId="0" applyNumberFormat="1" applyFont="1" applyFill="1" applyBorder="1" applyAlignment="1">
      <alignment vertical="center"/>
    </xf>
    <xf numFmtId="176" fontId="22" fillId="0" borderId="11" xfId="0" applyNumberFormat="1" applyFont="1" applyBorder="1">
      <alignment vertical="center"/>
    </xf>
    <xf numFmtId="176" fontId="22" fillId="0" borderId="6" xfId="0" applyNumberFormat="1" applyFont="1" applyBorder="1">
      <alignment vertical="center"/>
    </xf>
    <xf numFmtId="176" fontId="10" fillId="0" borderId="9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8" fontId="11" fillId="0" borderId="6" xfId="0" applyNumberFormat="1" applyFont="1" applyBorder="1">
      <alignment vertical="center"/>
    </xf>
    <xf numFmtId="178" fontId="10" fillId="0" borderId="7" xfId="0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178" fontId="11" fillId="0" borderId="6" xfId="0" applyNumberFormat="1" applyFont="1" applyBorder="1" applyAlignment="1">
      <alignment horizontal="right" vertical="center"/>
    </xf>
    <xf numFmtId="41" fontId="10" fillId="0" borderId="31" xfId="0" applyNumberFormat="1" applyFont="1" applyBorder="1">
      <alignment vertical="center"/>
    </xf>
    <xf numFmtId="41" fontId="10" fillId="0" borderId="31" xfId="0" applyNumberFormat="1" applyFont="1" applyFill="1" applyBorder="1">
      <alignment vertical="center"/>
    </xf>
    <xf numFmtId="41" fontId="10" fillId="0" borderId="25" xfId="0" applyNumberFormat="1" applyFont="1" applyFill="1" applyBorder="1">
      <alignment vertical="center"/>
    </xf>
    <xf numFmtId="41" fontId="10" fillId="0" borderId="25" xfId="0" applyNumberFormat="1" applyFont="1" applyBorder="1">
      <alignment vertical="center"/>
    </xf>
    <xf numFmtId="41" fontId="10" fillId="0" borderId="2" xfId="0" applyNumberFormat="1" applyFont="1" applyFill="1" applyBorder="1">
      <alignment vertical="center"/>
    </xf>
    <xf numFmtId="41" fontId="10" fillId="0" borderId="11" xfId="0" applyNumberFormat="1" applyFont="1" applyFill="1" applyBorder="1">
      <alignment vertical="center"/>
    </xf>
    <xf numFmtId="41" fontId="21" fillId="0" borderId="31" xfId="0" applyNumberFormat="1" applyFont="1" applyFill="1" applyBorder="1">
      <alignment vertical="center"/>
    </xf>
    <xf numFmtId="17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79" fontId="10" fillId="0" borderId="13" xfId="0" applyNumberFormat="1" applyFont="1" applyBorder="1">
      <alignment vertical="center"/>
    </xf>
    <xf numFmtId="0" fontId="26" fillId="0" borderId="0" xfId="0" applyFont="1" applyFill="1">
      <alignment vertical="center"/>
    </xf>
    <xf numFmtId="176" fontId="21" fillId="0" borderId="2" xfId="0" applyNumberFormat="1" applyFont="1" applyFill="1" applyBorder="1">
      <alignment vertical="center"/>
    </xf>
    <xf numFmtId="41" fontId="21" fillId="0" borderId="26" xfId="0" applyNumberFormat="1" applyFont="1" applyFill="1" applyBorder="1">
      <alignment vertical="center"/>
    </xf>
    <xf numFmtId="41" fontId="21" fillId="0" borderId="25" xfId="0" applyNumberFormat="1" applyFont="1" applyFill="1" applyBorder="1">
      <alignment vertical="center"/>
    </xf>
    <xf numFmtId="176" fontId="10" fillId="0" borderId="42" xfId="0" applyNumberFormat="1" applyFont="1" applyBorder="1" applyAlignment="1">
      <alignment vertical="center"/>
    </xf>
    <xf numFmtId="41" fontId="10" fillId="0" borderId="46" xfId="0" applyNumberFormat="1" applyFont="1" applyBorder="1">
      <alignment vertical="center"/>
    </xf>
    <xf numFmtId="41" fontId="10" fillId="0" borderId="32" xfId="1" applyFont="1" applyBorder="1">
      <alignment vertical="center"/>
    </xf>
    <xf numFmtId="41" fontId="10" fillId="0" borderId="48" xfId="1" applyFont="1" applyBorder="1">
      <alignment vertical="center"/>
    </xf>
    <xf numFmtId="41" fontId="10" fillId="0" borderId="36" xfId="1" applyFont="1" applyBorder="1">
      <alignment vertical="center"/>
    </xf>
    <xf numFmtId="41" fontId="10" fillId="0" borderId="23" xfId="1" applyFont="1" applyBorder="1">
      <alignment vertical="center"/>
    </xf>
    <xf numFmtId="41" fontId="10" fillId="0" borderId="48" xfId="0" applyNumberFormat="1" applyFont="1" applyBorder="1">
      <alignment vertical="center"/>
    </xf>
    <xf numFmtId="0" fontId="24" fillId="0" borderId="0" xfId="0" applyFont="1">
      <alignment vertical="center"/>
    </xf>
    <xf numFmtId="0" fontId="5" fillId="0" borderId="1" xfId="0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7" fontId="21" fillId="0" borderId="8" xfId="0" applyNumberFormat="1" applyFont="1" applyBorder="1">
      <alignment vertical="center"/>
    </xf>
    <xf numFmtId="176" fontId="10" fillId="0" borderId="9" xfId="0" applyNumberFormat="1" applyFont="1" applyBorder="1" applyAlignment="1">
      <alignment vertical="center" wrapText="1"/>
    </xf>
    <xf numFmtId="41" fontId="10" fillId="0" borderId="47" xfId="0" applyNumberFormat="1" applyFont="1" applyBorder="1">
      <alignment vertical="center"/>
    </xf>
    <xf numFmtId="17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76" fontId="21" fillId="0" borderId="24" xfId="0" applyNumberFormat="1" applyFont="1" applyFill="1" applyBorder="1">
      <alignment vertical="center"/>
    </xf>
    <xf numFmtId="17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1" fontId="10" fillId="0" borderId="31" xfId="1" applyFont="1" applyBorder="1">
      <alignment vertical="center"/>
    </xf>
    <xf numFmtId="41" fontId="10" fillId="0" borderId="37" xfId="1" applyFont="1" applyBorder="1">
      <alignment vertical="center"/>
    </xf>
    <xf numFmtId="41" fontId="21" fillId="0" borderId="31" xfId="1" applyFont="1" applyBorder="1">
      <alignment vertical="center"/>
    </xf>
    <xf numFmtId="41" fontId="21" fillId="0" borderId="4" xfId="1" applyFont="1" applyBorder="1">
      <alignment vertical="center"/>
    </xf>
    <xf numFmtId="41" fontId="21" fillId="0" borderId="37" xfId="1" applyFont="1" applyBorder="1">
      <alignment vertical="center"/>
    </xf>
    <xf numFmtId="41" fontId="10" fillId="0" borderId="4" xfId="1" applyFont="1" applyBorder="1">
      <alignment vertical="center"/>
    </xf>
    <xf numFmtId="41" fontId="10" fillId="0" borderId="30" xfId="0" applyNumberFormat="1" applyFont="1" applyBorder="1">
      <alignment vertical="center"/>
    </xf>
    <xf numFmtId="41" fontId="10" fillId="0" borderId="38" xfId="0" applyNumberFormat="1" applyFont="1" applyBorder="1">
      <alignment vertical="center"/>
    </xf>
    <xf numFmtId="41" fontId="21" fillId="0" borderId="31" xfId="1" applyFont="1" applyFill="1" applyBorder="1">
      <alignment vertical="center"/>
    </xf>
    <xf numFmtId="0" fontId="5" fillId="0" borderId="35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1" fontId="21" fillId="0" borderId="0" xfId="1" applyFont="1" applyFill="1">
      <alignment vertical="center"/>
    </xf>
    <xf numFmtId="41" fontId="21" fillId="0" borderId="28" xfId="1" applyFont="1" applyBorder="1">
      <alignment vertical="center"/>
    </xf>
    <xf numFmtId="41" fontId="21" fillId="0" borderId="24" xfId="1" applyFont="1" applyBorder="1">
      <alignment vertical="center"/>
    </xf>
    <xf numFmtId="41" fontId="21" fillId="0" borderId="36" xfId="1" applyFont="1" applyBorder="1">
      <alignment vertical="center"/>
    </xf>
    <xf numFmtId="41" fontId="21" fillId="0" borderId="0" xfId="1" applyFont="1">
      <alignment vertical="center"/>
    </xf>
    <xf numFmtId="179" fontId="10" fillId="0" borderId="2" xfId="0" applyNumberFormat="1" applyFont="1" applyBorder="1">
      <alignment vertical="center"/>
    </xf>
    <xf numFmtId="41" fontId="10" fillId="0" borderId="30" xfId="1" applyFont="1" applyBorder="1">
      <alignment vertical="center"/>
    </xf>
    <xf numFmtId="41" fontId="10" fillId="0" borderId="30" xfId="1" applyFont="1" applyFill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6" fontId="10" fillId="0" borderId="7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8" fontId="10" fillId="0" borderId="11" xfId="0" applyNumberFormat="1" applyFont="1" applyBorder="1">
      <alignment vertical="center"/>
    </xf>
    <xf numFmtId="178" fontId="10" fillId="0" borderId="9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1" fillId="0" borderId="43" xfId="0" applyNumberFormat="1" applyFont="1" applyBorder="1">
      <alignment vertical="center"/>
    </xf>
    <xf numFmtId="176" fontId="11" fillId="0" borderId="9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0" fontId="25" fillId="0" borderId="0" xfId="0" applyFont="1">
      <alignment vertical="center"/>
    </xf>
    <xf numFmtId="176" fontId="10" fillId="0" borderId="44" xfId="0" applyNumberFormat="1" applyFont="1" applyBorder="1">
      <alignment vertical="center"/>
    </xf>
    <xf numFmtId="176" fontId="11" fillId="0" borderId="10" xfId="0" applyNumberFormat="1" applyFont="1" applyBorder="1">
      <alignment vertical="center"/>
    </xf>
    <xf numFmtId="178" fontId="10" fillId="0" borderId="45" xfId="0" applyNumberFormat="1" applyFont="1" applyBorder="1">
      <alignment vertical="center"/>
    </xf>
    <xf numFmtId="179" fontId="24" fillId="2" borderId="3" xfId="0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176" fontId="10" fillId="0" borderId="11" xfId="0" applyNumberFormat="1" applyFont="1" applyBorder="1">
      <alignment vertical="center"/>
    </xf>
    <xf numFmtId="179" fontId="5" fillId="0" borderId="1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177" fontId="10" fillId="0" borderId="7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26" fillId="0" borderId="0" xfId="0" applyNumberFormat="1" applyFont="1">
      <alignment vertical="center"/>
    </xf>
    <xf numFmtId="176" fontId="10" fillId="0" borderId="42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179" fontId="10" fillId="0" borderId="37" xfId="0" applyNumberFormat="1" applyFont="1" applyBorder="1">
      <alignment vertical="center"/>
    </xf>
    <xf numFmtId="41" fontId="14" fillId="0" borderId="0" xfId="0" applyNumberFormat="1" applyFont="1">
      <alignment vertical="center"/>
    </xf>
    <xf numFmtId="0" fontId="20" fillId="0" borderId="0" xfId="0" applyFont="1">
      <alignment vertical="center"/>
    </xf>
    <xf numFmtId="41" fontId="10" fillId="0" borderId="30" xfId="0" applyNumberFormat="1" applyFont="1" applyFill="1" applyBorder="1">
      <alignment vertical="center"/>
    </xf>
    <xf numFmtId="41" fontId="10" fillId="0" borderId="26" xfId="0" applyNumberFormat="1" applyFont="1" applyFill="1" applyBorder="1">
      <alignment vertical="center"/>
    </xf>
    <xf numFmtId="41" fontId="21" fillId="0" borderId="4" xfId="1" applyFont="1" applyBorder="1">
      <alignment vertical="center"/>
    </xf>
    <xf numFmtId="179" fontId="17" fillId="2" borderId="25" xfId="0" applyNumberFormat="1" applyFont="1" applyFill="1" applyBorder="1" applyAlignment="1">
      <alignment horizontal="center" vertical="center"/>
    </xf>
    <xf numFmtId="179" fontId="21" fillId="0" borderId="4" xfId="0" applyNumberFormat="1" applyFont="1" applyBorder="1">
      <alignment vertical="center"/>
    </xf>
    <xf numFmtId="41" fontId="17" fillId="2" borderId="24" xfId="0" applyNumberFormat="1" applyFont="1" applyFill="1" applyBorder="1" applyAlignment="1">
      <alignment horizontal="center" vertical="center"/>
    </xf>
    <xf numFmtId="41" fontId="21" fillId="0" borderId="23" xfId="0" applyNumberFormat="1" applyFont="1" applyBorder="1">
      <alignment vertical="center"/>
    </xf>
    <xf numFmtId="41" fontId="17" fillId="2" borderId="26" xfId="0" applyNumberFormat="1" applyFont="1" applyFill="1" applyBorder="1" applyAlignment="1">
      <alignment horizontal="center" vertical="center"/>
    </xf>
    <xf numFmtId="41" fontId="21" fillId="0" borderId="27" xfId="0" applyNumberFormat="1" applyFont="1" applyBorder="1">
      <alignment vertical="center"/>
    </xf>
    <xf numFmtId="41" fontId="21" fillId="0" borderId="32" xfId="0" applyNumberFormat="1" applyFont="1" applyBorder="1">
      <alignment vertical="center"/>
    </xf>
    <xf numFmtId="41" fontId="21" fillId="0" borderId="1" xfId="0" applyNumberFormat="1" applyFont="1" applyBorder="1">
      <alignment vertical="center"/>
    </xf>
    <xf numFmtId="41" fontId="6" fillId="0" borderId="0" xfId="0" applyNumberFormat="1" applyFont="1" applyAlignment="1">
      <alignment horizontal="left" vertical="center"/>
    </xf>
    <xf numFmtId="180" fontId="21" fillId="0" borderId="31" xfId="0" applyNumberFormat="1" applyFont="1" applyBorder="1">
      <alignment vertical="center"/>
    </xf>
    <xf numFmtId="177" fontId="21" fillId="0" borderId="31" xfId="0" applyNumberFormat="1" applyFont="1" applyBorder="1">
      <alignment vertical="center"/>
    </xf>
    <xf numFmtId="177" fontId="21" fillId="0" borderId="29" xfId="0" applyNumberFormat="1" applyFont="1" applyBorder="1">
      <alignment vertical="center"/>
    </xf>
    <xf numFmtId="41" fontId="21" fillId="0" borderId="37" xfId="1" applyFont="1" applyBorder="1">
      <alignment vertical="center"/>
    </xf>
    <xf numFmtId="177" fontId="21" fillId="0" borderId="31" xfId="0" applyNumberFormat="1" applyFont="1" applyFill="1" applyBorder="1">
      <alignment vertical="center"/>
    </xf>
    <xf numFmtId="180" fontId="21" fillId="0" borderId="31" xfId="0" applyNumberFormat="1" applyFont="1" applyFill="1" applyBorder="1">
      <alignment vertical="center"/>
    </xf>
    <xf numFmtId="41" fontId="21" fillId="0" borderId="34" xfId="0" applyNumberFormat="1" applyFont="1" applyBorder="1">
      <alignment vertical="center"/>
    </xf>
    <xf numFmtId="41" fontId="21" fillId="0" borderId="28" xfId="0" applyNumberFormat="1" applyFont="1" applyBorder="1">
      <alignment vertical="center"/>
    </xf>
    <xf numFmtId="41" fontId="21" fillId="0" borderId="24" xfId="0" applyNumberFormat="1" applyFont="1" applyBorder="1">
      <alignment vertical="center"/>
    </xf>
    <xf numFmtId="41" fontId="21" fillId="0" borderId="28" xfId="0" applyNumberFormat="1" applyFont="1" applyFill="1" applyBorder="1">
      <alignment vertical="center"/>
    </xf>
    <xf numFmtId="41" fontId="21" fillId="0" borderId="34" xfId="0" applyNumberFormat="1" applyFont="1" applyFill="1" applyBorder="1">
      <alignment vertical="center"/>
    </xf>
    <xf numFmtId="41" fontId="21" fillId="0" borderId="36" xfId="0" applyNumberFormat="1" applyFont="1" applyBorder="1">
      <alignment vertical="center"/>
    </xf>
    <xf numFmtId="41" fontId="21" fillId="0" borderId="33" xfId="0" applyNumberFormat="1" applyFont="1" applyBorder="1">
      <alignment vertical="center"/>
    </xf>
    <xf numFmtId="41" fontId="21" fillId="0" borderId="40" xfId="0" applyNumberFormat="1" applyFont="1" applyBorder="1">
      <alignment vertical="center"/>
    </xf>
    <xf numFmtId="41" fontId="21" fillId="0" borderId="26" xfId="0" applyNumberFormat="1" applyFont="1" applyBorder="1">
      <alignment vertical="center"/>
    </xf>
    <xf numFmtId="41" fontId="21" fillId="0" borderId="15" xfId="0" applyNumberFormat="1" applyFont="1" applyBorder="1">
      <alignment vertical="center"/>
    </xf>
    <xf numFmtId="41" fontId="21" fillId="0" borderId="15" xfId="0" applyNumberFormat="1" applyFont="1" applyFill="1" applyBorder="1">
      <alignment vertical="center"/>
    </xf>
    <xf numFmtId="41" fontId="21" fillId="0" borderId="24" xfId="0" applyNumberFormat="1" applyFont="1" applyFill="1" applyBorder="1">
      <alignment vertical="center"/>
    </xf>
    <xf numFmtId="41" fontId="21" fillId="0" borderId="26" xfId="0" applyNumberFormat="1" applyFont="1" applyBorder="1" applyAlignment="1">
      <alignment horizontal="right" vertical="center"/>
    </xf>
    <xf numFmtId="41" fontId="21" fillId="0" borderId="24" xfId="0" applyNumberFormat="1" applyFont="1" applyBorder="1" applyAlignment="1">
      <alignment horizontal="right" vertical="center"/>
    </xf>
    <xf numFmtId="177" fontId="21" fillId="0" borderId="37" xfId="0" applyNumberFormat="1" applyFont="1" applyBorder="1">
      <alignment vertical="center"/>
    </xf>
    <xf numFmtId="41" fontId="21" fillId="0" borderId="31" xfId="1" applyFont="1" applyFill="1" applyBorder="1">
      <alignment vertical="center"/>
    </xf>
    <xf numFmtId="41" fontId="21" fillId="0" borderId="26" xfId="0" applyNumberFormat="1" applyFont="1" applyFill="1" applyBorder="1">
      <alignment vertical="center"/>
    </xf>
    <xf numFmtId="41" fontId="21" fillId="0" borderId="18" xfId="0" applyNumberFormat="1" applyFont="1" applyBorder="1">
      <alignment vertical="center"/>
    </xf>
    <xf numFmtId="41" fontId="21" fillId="0" borderId="0" xfId="0" applyNumberFormat="1" applyFont="1" applyBorder="1">
      <alignment vertical="center"/>
    </xf>
    <xf numFmtId="41" fontId="21" fillId="0" borderId="0" xfId="0" applyNumberFormat="1" applyFont="1" applyFill="1" applyBorder="1">
      <alignment vertical="center"/>
    </xf>
    <xf numFmtId="41" fontId="21" fillId="0" borderId="18" xfId="0" applyNumberFormat="1" applyFont="1" applyFill="1" applyBorder="1">
      <alignment vertical="center"/>
    </xf>
    <xf numFmtId="41" fontId="5" fillId="0" borderId="0" xfId="0" applyNumberFormat="1" applyFont="1" applyAlignment="1">
      <alignment horizontal="right" vertical="center"/>
    </xf>
    <xf numFmtId="41" fontId="6" fillId="0" borderId="0" xfId="0" applyNumberFormat="1" applyFont="1">
      <alignment vertical="center"/>
    </xf>
    <xf numFmtId="41" fontId="13" fillId="0" borderId="0" xfId="0" applyNumberFormat="1" applyFont="1">
      <alignment vertical="center"/>
    </xf>
    <xf numFmtId="41" fontId="21" fillId="0" borderId="31" xfId="1" applyFont="1" applyBorder="1">
      <alignment vertical="center"/>
    </xf>
    <xf numFmtId="179" fontId="10" fillId="0" borderId="31" xfId="0" applyNumberFormat="1" applyFont="1" applyBorder="1">
      <alignment vertical="center"/>
    </xf>
    <xf numFmtId="179" fontId="10" fillId="0" borderId="31" xfId="0" applyNumberFormat="1" applyFont="1" applyFill="1" applyBorder="1">
      <alignment vertical="center"/>
    </xf>
    <xf numFmtId="41" fontId="10" fillId="0" borderId="28" xfId="0" applyNumberFormat="1" applyFont="1" applyFill="1" applyBorder="1">
      <alignment vertical="center"/>
    </xf>
    <xf numFmtId="41" fontId="21" fillId="0" borderId="30" xfId="0" applyNumberFormat="1" applyFont="1" applyBorder="1">
      <alignment vertical="center"/>
    </xf>
    <xf numFmtId="41" fontId="21" fillId="0" borderId="30" xfId="0" applyNumberFormat="1" applyFont="1" applyFill="1" applyBorder="1">
      <alignment vertical="center"/>
    </xf>
    <xf numFmtId="179" fontId="10" fillId="0" borderId="31" xfId="1" applyNumberFormat="1" applyFont="1" applyBorder="1">
      <alignment vertical="center"/>
    </xf>
    <xf numFmtId="41" fontId="10" fillId="0" borderId="0" xfId="0" applyNumberFormat="1" applyFont="1" applyFill="1" applyBorder="1">
      <alignment vertical="center"/>
    </xf>
    <xf numFmtId="41" fontId="10" fillId="0" borderId="0" xfId="0" applyNumberFormat="1" applyFont="1" applyBorder="1">
      <alignment vertical="center"/>
    </xf>
    <xf numFmtId="41" fontId="10" fillId="0" borderId="31" xfId="1" applyFont="1" applyBorder="1">
      <alignment vertical="center"/>
    </xf>
    <xf numFmtId="41" fontId="10" fillId="0" borderId="37" xfId="1" applyFont="1" applyBorder="1">
      <alignment vertical="center"/>
    </xf>
    <xf numFmtId="177" fontId="10" fillId="0" borderId="4" xfId="0" applyNumberFormat="1" applyFont="1" applyBorder="1">
      <alignment vertical="center"/>
    </xf>
    <xf numFmtId="41" fontId="10" fillId="0" borderId="24" xfId="0" applyNumberFormat="1" applyFont="1" applyBorder="1">
      <alignment vertical="center"/>
    </xf>
    <xf numFmtId="41" fontId="10" fillId="0" borderId="4" xfId="1" applyFont="1" applyBorder="1">
      <alignment vertical="center"/>
    </xf>
    <xf numFmtId="41" fontId="10" fillId="0" borderId="34" xfId="0" applyNumberFormat="1" applyFont="1" applyBorder="1">
      <alignment vertical="center"/>
    </xf>
    <xf numFmtId="41" fontId="10" fillId="0" borderId="26" xfId="0" applyNumberFormat="1" applyFont="1" applyBorder="1">
      <alignment vertical="center"/>
    </xf>
    <xf numFmtId="41" fontId="6" fillId="2" borderId="24" xfId="0" applyNumberFormat="1" applyFont="1" applyFill="1" applyBorder="1" applyAlignment="1">
      <alignment horizontal="center" vertical="center"/>
    </xf>
    <xf numFmtId="41" fontId="10" fillId="0" borderId="30" xfId="0" applyNumberFormat="1" applyFont="1" applyBorder="1">
      <alignment vertical="center"/>
    </xf>
    <xf numFmtId="41" fontId="10" fillId="0" borderId="38" xfId="0" applyNumberFormat="1" applyFont="1" applyBorder="1">
      <alignment vertical="center"/>
    </xf>
    <xf numFmtId="41" fontId="10" fillId="0" borderId="28" xfId="0" applyNumberFormat="1" applyFont="1" applyBorder="1">
      <alignment vertical="center"/>
    </xf>
    <xf numFmtId="177" fontId="22" fillId="0" borderId="11" xfId="0" applyNumberFormat="1" applyFont="1" applyBorder="1">
      <alignment vertical="center"/>
    </xf>
    <xf numFmtId="177" fontId="22" fillId="0" borderId="6" xfId="0" applyNumberFormat="1" applyFont="1" applyBorder="1">
      <alignment vertical="center"/>
    </xf>
    <xf numFmtId="177" fontId="23" fillId="0" borderId="11" xfId="0" applyNumberFormat="1" applyFont="1" applyBorder="1">
      <alignment vertical="center"/>
    </xf>
    <xf numFmtId="177" fontId="22" fillId="0" borderId="7" xfId="0" applyNumberFormat="1" applyFont="1" applyBorder="1">
      <alignment vertical="center"/>
    </xf>
    <xf numFmtId="177" fontId="22" fillId="0" borderId="22" xfId="0" applyNumberFormat="1" applyFont="1" applyBorder="1">
      <alignment vertical="center"/>
    </xf>
    <xf numFmtId="0" fontId="26" fillId="0" borderId="0" xfId="0" applyFont="1">
      <alignment vertical="center"/>
    </xf>
    <xf numFmtId="41" fontId="26" fillId="0" borderId="0" xfId="0" applyNumberFormat="1" applyFont="1">
      <alignment vertical="center"/>
    </xf>
    <xf numFmtId="176" fontId="22" fillId="0" borderId="11" xfId="0" applyNumberFormat="1" applyFont="1" applyBorder="1">
      <alignment vertical="center"/>
    </xf>
    <xf numFmtId="176" fontId="22" fillId="0" borderId="6" xfId="0" applyNumberFormat="1" applyFont="1" applyBorder="1">
      <alignment vertical="center"/>
    </xf>
    <xf numFmtId="41" fontId="22" fillId="0" borderId="11" xfId="0" applyNumberFormat="1" applyFont="1" applyBorder="1">
      <alignment vertical="center"/>
    </xf>
    <xf numFmtId="41" fontId="22" fillId="0" borderId="22" xfId="0" applyNumberFormat="1" applyFont="1" applyBorder="1">
      <alignment vertical="center"/>
    </xf>
    <xf numFmtId="41" fontId="23" fillId="0" borderId="11" xfId="0" applyNumberFormat="1" applyFont="1" applyBorder="1">
      <alignment vertical="center"/>
    </xf>
    <xf numFmtId="41" fontId="23" fillId="0" borderId="19" xfId="0" applyNumberFormat="1" applyFont="1" applyBorder="1">
      <alignment vertical="center"/>
    </xf>
    <xf numFmtId="41" fontId="22" fillId="0" borderId="6" xfId="0" applyNumberFormat="1" applyFont="1" applyBorder="1">
      <alignment vertical="center"/>
    </xf>
    <xf numFmtId="41" fontId="22" fillId="0" borderId="7" xfId="0" applyNumberFormat="1" applyFont="1" applyBorder="1">
      <alignment vertical="center"/>
    </xf>
    <xf numFmtId="0" fontId="0" fillId="0" borderId="0" xfId="0">
      <alignment vertical="center"/>
    </xf>
    <xf numFmtId="176" fontId="10" fillId="0" borderId="9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41" fontId="10" fillId="0" borderId="7" xfId="0" applyNumberFormat="1" applyFont="1" applyBorder="1">
      <alignment vertical="center"/>
    </xf>
    <xf numFmtId="41" fontId="10" fillId="0" borderId="2" xfId="0" applyNumberFormat="1" applyFont="1" applyBorder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76" fontId="10" fillId="0" borderId="0" xfId="0" applyNumberFormat="1" applyFont="1">
      <alignment vertical="center"/>
    </xf>
    <xf numFmtId="41" fontId="10" fillId="0" borderId="7" xfId="1" applyFont="1" applyBorder="1">
      <alignment vertical="center"/>
    </xf>
    <xf numFmtId="41" fontId="10" fillId="0" borderId="2" xfId="1" applyFont="1" applyBorder="1">
      <alignment vertical="center"/>
    </xf>
    <xf numFmtId="179" fontId="10" fillId="0" borderId="8" xfId="0" applyNumberFormat="1" applyFont="1" applyBorder="1">
      <alignment vertical="center"/>
    </xf>
    <xf numFmtId="179" fontId="10" fillId="0" borderId="4" xfId="0" applyNumberFormat="1" applyFont="1" applyBorder="1">
      <alignment vertical="center"/>
    </xf>
    <xf numFmtId="176" fontId="15" fillId="0" borderId="0" xfId="0" applyNumberFormat="1" applyFont="1">
      <alignment vertical="center"/>
    </xf>
    <xf numFmtId="41" fontId="31" fillId="0" borderId="0" xfId="0" applyNumberFormat="1" applyFont="1">
      <alignment vertical="center"/>
    </xf>
    <xf numFmtId="41" fontId="32" fillId="0" borderId="0" xfId="0" applyNumberFormat="1" applyFont="1" applyAlignment="1">
      <alignment horizontal="right" vertical="center"/>
    </xf>
    <xf numFmtId="41" fontId="15" fillId="0" borderId="28" xfId="1" applyFont="1" applyBorder="1">
      <alignment vertical="center"/>
    </xf>
    <xf numFmtId="41" fontId="15" fillId="0" borderId="24" xfId="1" applyFont="1" applyBorder="1">
      <alignment vertical="center"/>
    </xf>
    <xf numFmtId="41" fontId="32" fillId="0" borderId="0" xfId="0" applyNumberFormat="1" applyFont="1">
      <alignment vertical="center"/>
    </xf>
    <xf numFmtId="0" fontId="0" fillId="0" borderId="0" xfId="0" applyFont="1">
      <alignment vertical="center"/>
    </xf>
    <xf numFmtId="41" fontId="31" fillId="0" borderId="0" xfId="0" applyNumberFormat="1" applyFont="1" applyAlignment="1">
      <alignment horizontal="right" vertical="center"/>
    </xf>
    <xf numFmtId="41" fontId="33" fillId="0" borderId="0" xfId="0" applyNumberFormat="1" applyFont="1">
      <alignment vertical="center"/>
    </xf>
    <xf numFmtId="41" fontId="15" fillId="0" borderId="34" xfId="1" applyFont="1" applyBorder="1">
      <alignment vertical="center"/>
    </xf>
    <xf numFmtId="41" fontId="15" fillId="0" borderId="28" xfId="1" applyFont="1" applyFill="1" applyBorder="1">
      <alignment vertical="center"/>
    </xf>
    <xf numFmtId="41" fontId="15" fillId="0" borderId="24" xfId="1" applyFont="1" applyFill="1" applyBorder="1">
      <alignment vertical="center"/>
    </xf>
    <xf numFmtId="41" fontId="15" fillId="0" borderId="30" xfId="0" applyNumberFormat="1" applyFont="1" applyBorder="1">
      <alignment vertical="center"/>
    </xf>
    <xf numFmtId="41" fontId="15" fillId="0" borderId="28" xfId="0" applyNumberFormat="1" applyFont="1" applyBorder="1">
      <alignment vertical="center"/>
    </xf>
    <xf numFmtId="41" fontId="15" fillId="0" borderId="26" xfId="0" applyNumberFormat="1" applyFont="1" applyBorder="1">
      <alignment vertical="center"/>
    </xf>
    <xf numFmtId="41" fontId="15" fillId="0" borderId="24" xfId="0" applyNumberFormat="1" applyFont="1" applyBorder="1">
      <alignment vertical="center"/>
    </xf>
    <xf numFmtId="41" fontId="15" fillId="0" borderId="38" xfId="0" applyNumberFormat="1" applyFont="1" applyBorder="1">
      <alignment vertical="center"/>
    </xf>
    <xf numFmtId="41" fontId="15" fillId="0" borderId="34" xfId="0" applyNumberFormat="1" applyFont="1" applyBorder="1">
      <alignment vertical="center"/>
    </xf>
    <xf numFmtId="41" fontId="15" fillId="0" borderId="28" xfId="0" applyNumberFormat="1" applyFont="1" applyFill="1" applyBorder="1">
      <alignment vertical="center"/>
    </xf>
    <xf numFmtId="41" fontId="15" fillId="0" borderId="24" xfId="0" applyNumberFormat="1" applyFont="1" applyFill="1" applyBorder="1">
      <alignment vertical="center"/>
    </xf>
    <xf numFmtId="41" fontId="15" fillId="0" borderId="34" xfId="0" applyNumberFormat="1" applyFont="1" applyFill="1" applyBorder="1">
      <alignment vertical="center"/>
    </xf>
    <xf numFmtId="0" fontId="34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41" fontId="35" fillId="0" borderId="34" xfId="0" applyNumberFormat="1" applyFont="1" applyBorder="1">
      <alignment vertical="center"/>
    </xf>
    <xf numFmtId="41" fontId="35" fillId="0" borderId="32" xfId="0" applyNumberFormat="1" applyFont="1" applyBorder="1">
      <alignment vertical="center"/>
    </xf>
    <xf numFmtId="41" fontId="35" fillId="0" borderId="28" xfId="0" applyNumberFormat="1" applyFont="1" applyBorder="1">
      <alignment vertical="center"/>
    </xf>
    <xf numFmtId="41" fontId="35" fillId="0" borderId="30" xfId="0" applyNumberFormat="1" applyFont="1" applyBorder="1">
      <alignment vertical="center"/>
    </xf>
    <xf numFmtId="41" fontId="35" fillId="0" borderId="24" xfId="0" applyNumberFormat="1" applyFont="1" applyBorder="1">
      <alignment vertical="center"/>
    </xf>
    <xf numFmtId="41" fontId="28" fillId="0" borderId="0" xfId="0" applyNumberFormat="1" applyFont="1">
      <alignment vertical="center"/>
    </xf>
    <xf numFmtId="41" fontId="35" fillId="0" borderId="28" xfId="0" applyNumberFormat="1" applyFont="1" applyFill="1" applyBorder="1">
      <alignment vertical="center"/>
    </xf>
    <xf numFmtId="41" fontId="35" fillId="0" borderId="24" xfId="0" applyNumberFormat="1" applyFont="1" applyFill="1" applyBorder="1">
      <alignment vertical="center"/>
    </xf>
    <xf numFmtId="41" fontId="35" fillId="0" borderId="34" xfId="0" applyNumberFormat="1" applyFont="1" applyFill="1" applyBorder="1">
      <alignment vertical="center"/>
    </xf>
    <xf numFmtId="41" fontId="35" fillId="0" borderId="36" xfId="0" applyNumberFormat="1" applyFont="1" applyBorder="1">
      <alignment vertical="center"/>
    </xf>
    <xf numFmtId="41" fontId="33" fillId="2" borderId="24" xfId="0" applyNumberFormat="1" applyFont="1" applyFill="1" applyBorder="1" applyAlignment="1">
      <alignment horizontal="center" vertical="center"/>
    </xf>
    <xf numFmtId="41" fontId="35" fillId="0" borderId="33" xfId="0" applyNumberFormat="1" applyFont="1" applyBorder="1">
      <alignment vertical="center"/>
    </xf>
    <xf numFmtId="41" fontId="35" fillId="0" borderId="30" xfId="0" applyNumberFormat="1" applyFont="1" applyFill="1" applyBorder="1">
      <alignment vertical="center"/>
    </xf>
    <xf numFmtId="176" fontId="35" fillId="0" borderId="24" xfId="0" applyNumberFormat="1" applyFont="1" applyFill="1" applyBorder="1">
      <alignment vertical="center"/>
    </xf>
    <xf numFmtId="41" fontId="35" fillId="0" borderId="28" xfId="1" applyFont="1" applyBorder="1">
      <alignment vertical="center"/>
    </xf>
    <xf numFmtId="41" fontId="35" fillId="0" borderId="24" xfId="0" applyNumberFormat="1" applyFont="1" applyBorder="1" applyAlignment="1">
      <alignment horizontal="right" vertical="center"/>
    </xf>
    <xf numFmtId="41" fontId="35" fillId="0" borderId="0" xfId="1" applyFo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6" xfId="0" applyNumberFormat="1" applyFont="1" applyBorder="1" applyAlignment="1">
      <alignment vertical="center"/>
    </xf>
    <xf numFmtId="177" fontId="10" fillId="0" borderId="37" xfId="0" applyNumberFormat="1" applyFont="1" applyBorder="1">
      <alignment vertical="center"/>
    </xf>
    <xf numFmtId="0" fontId="18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1" fontId="23" fillId="0" borderId="6" xfId="0" applyNumberFormat="1" applyFont="1" applyBorder="1">
      <alignment vertical="center"/>
    </xf>
    <xf numFmtId="177" fontId="23" fillId="0" borderId="6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21" fillId="0" borderId="48" xfId="0" applyNumberFormat="1" applyFont="1" applyBorder="1">
      <alignment vertical="center"/>
    </xf>
    <xf numFmtId="41" fontId="10" fillId="0" borderId="0" xfId="1" applyFont="1" applyFill="1" applyBorder="1">
      <alignment vertical="center"/>
    </xf>
    <xf numFmtId="0" fontId="24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1" fontId="10" fillId="0" borderId="4" xfId="0" applyNumberFormat="1" applyFont="1" applyBorder="1">
      <alignment vertical="center"/>
    </xf>
    <xf numFmtId="41" fontId="10" fillId="0" borderId="4" xfId="0" applyNumberFormat="1" applyFont="1" applyFill="1" applyBorder="1">
      <alignment vertical="center"/>
    </xf>
    <xf numFmtId="179" fontId="21" fillId="0" borderId="31" xfId="0" applyNumberFormat="1" applyFont="1" applyBorder="1">
      <alignment vertical="center"/>
    </xf>
    <xf numFmtId="41" fontId="21" fillId="0" borderId="29" xfId="0" applyNumberFormat="1" applyFont="1" applyBorder="1">
      <alignment vertical="center"/>
    </xf>
    <xf numFmtId="176" fontId="21" fillId="0" borderId="7" xfId="0" applyNumberFormat="1" applyFont="1" applyFill="1" applyBorder="1">
      <alignment vertical="center"/>
    </xf>
    <xf numFmtId="41" fontId="21" fillId="0" borderId="7" xfId="1" applyFont="1" applyBorder="1">
      <alignment vertical="center"/>
    </xf>
    <xf numFmtId="41" fontId="21" fillId="0" borderId="2" xfId="1" applyFont="1" applyBorder="1">
      <alignment vertical="center"/>
    </xf>
    <xf numFmtId="41" fontId="21" fillId="0" borderId="6" xfId="1" applyFont="1" applyBorder="1">
      <alignment vertical="center"/>
    </xf>
    <xf numFmtId="41" fontId="21" fillId="0" borderId="29" xfId="1" applyFont="1" applyBorder="1">
      <alignment vertical="center"/>
    </xf>
    <xf numFmtId="180" fontId="21" fillId="0" borderId="13" xfId="0" applyNumberFormat="1" applyFont="1" applyBorder="1">
      <alignment vertical="center"/>
    </xf>
    <xf numFmtId="41" fontId="6" fillId="2" borderId="26" xfId="0" applyNumberFormat="1" applyFont="1" applyFill="1" applyBorder="1" applyAlignment="1">
      <alignment horizontal="center" vertical="center"/>
    </xf>
    <xf numFmtId="179" fontId="6" fillId="2" borderId="25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1" fontId="36" fillId="2" borderId="24" xfId="0" applyNumberFormat="1" applyFont="1" applyFill="1" applyBorder="1" applyAlignment="1">
      <alignment horizontal="center" vertical="center"/>
    </xf>
    <xf numFmtId="41" fontId="36" fillId="2" borderId="26" xfId="0" applyNumberFormat="1" applyFont="1" applyFill="1" applyBorder="1" applyAlignment="1">
      <alignment horizontal="center" vertical="center"/>
    </xf>
    <xf numFmtId="41" fontId="33" fillId="2" borderId="26" xfId="0" applyNumberFormat="1" applyFont="1" applyFill="1" applyBorder="1" applyAlignment="1">
      <alignment horizontal="center" vertical="center"/>
    </xf>
    <xf numFmtId="176" fontId="10" fillId="0" borderId="12" xfId="0" applyNumberFormat="1" applyFont="1" applyBorder="1">
      <alignment vertical="center"/>
    </xf>
    <xf numFmtId="0" fontId="21" fillId="0" borderId="24" xfId="0" applyFont="1" applyBorder="1">
      <alignment vertical="center"/>
    </xf>
    <xf numFmtId="180" fontId="21" fillId="0" borderId="37" xfId="0" applyNumberFormat="1" applyFont="1" applyFill="1" applyBorder="1">
      <alignment vertical="center"/>
    </xf>
    <xf numFmtId="41" fontId="21" fillId="0" borderId="23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1" fontId="10" fillId="0" borderId="27" xfId="0" applyNumberFormat="1" applyFont="1" applyBorder="1">
      <alignment vertical="center"/>
    </xf>
    <xf numFmtId="41" fontId="10" fillId="0" borderId="32" xfId="0" applyNumberFormat="1" applyFont="1" applyBorder="1">
      <alignment vertical="center"/>
    </xf>
    <xf numFmtId="41" fontId="10" fillId="0" borderId="27" xfId="0" applyNumberFormat="1" applyFont="1" applyFill="1" applyBorder="1">
      <alignment vertical="center"/>
    </xf>
    <xf numFmtId="41" fontId="10" fillId="0" borderId="32" xfId="0" applyNumberFormat="1" applyFont="1" applyFill="1" applyBorder="1">
      <alignment vertical="center"/>
    </xf>
    <xf numFmtId="41" fontId="21" fillId="0" borderId="27" xfId="0" applyNumberFormat="1" applyFont="1" applyFill="1" applyBorder="1">
      <alignment vertical="center"/>
    </xf>
    <xf numFmtId="41" fontId="21" fillId="0" borderId="32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15" fillId="0" borderId="27" xfId="0" applyNumberFormat="1" applyFont="1" applyBorder="1">
      <alignment vertical="center"/>
    </xf>
    <xf numFmtId="41" fontId="15" fillId="0" borderId="32" xfId="0" applyNumberFormat="1" applyFont="1" applyBorder="1">
      <alignment vertical="center"/>
    </xf>
    <xf numFmtId="41" fontId="15" fillId="0" borderId="27" xfId="0" applyNumberFormat="1" applyFont="1" applyFill="1" applyBorder="1">
      <alignment vertical="center"/>
    </xf>
    <xf numFmtId="41" fontId="15" fillId="0" borderId="32" xfId="0" applyNumberFormat="1" applyFont="1" applyFill="1" applyBorder="1">
      <alignment vertical="center"/>
    </xf>
    <xf numFmtId="41" fontId="35" fillId="0" borderId="27" xfId="0" applyNumberFormat="1" applyFont="1" applyBorder="1">
      <alignment vertical="center"/>
    </xf>
    <xf numFmtId="41" fontId="35" fillId="0" borderId="27" xfId="0" applyNumberFormat="1" applyFont="1" applyFill="1" applyBorder="1">
      <alignment vertical="center"/>
    </xf>
    <xf numFmtId="41" fontId="35" fillId="0" borderId="32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0" fillId="0" borderId="7" xfId="0" applyNumberFormat="1" applyFont="1" applyFill="1" applyBorder="1">
      <alignment vertical="center"/>
    </xf>
    <xf numFmtId="41" fontId="10" fillId="0" borderId="23" xfId="0" applyNumberFormat="1" applyFont="1" applyBorder="1">
      <alignment vertical="center"/>
    </xf>
    <xf numFmtId="41" fontId="6" fillId="2" borderId="2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49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41" fontId="13" fillId="2" borderId="2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41" fontId="13" fillId="2" borderId="16" xfId="0" applyNumberFormat="1" applyFont="1" applyFill="1" applyBorder="1" applyAlignment="1">
      <alignment horizontal="center" vertical="center"/>
    </xf>
    <xf numFmtId="41" fontId="13" fillId="2" borderId="11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8" fontId="17" fillId="2" borderId="8" xfId="0" applyNumberFormat="1" applyFont="1" applyFill="1" applyBorder="1" applyAlignment="1">
      <alignment horizontal="center" vertical="center"/>
    </xf>
    <xf numFmtId="178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78" fontId="17" fillId="2" borderId="13" xfId="0" applyNumberFormat="1" applyFont="1" applyFill="1" applyBorder="1" applyAlignment="1">
      <alignment horizontal="center" vertical="center"/>
    </xf>
    <xf numFmtId="178" fontId="17" fillId="2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41" fontId="17" fillId="2" borderId="11" xfId="0" applyNumberFormat="1" applyFont="1" applyFill="1" applyBorder="1" applyAlignment="1">
      <alignment horizontal="center" vertical="center"/>
    </xf>
    <xf numFmtId="41" fontId="17" fillId="2" borderId="6" xfId="0" applyNumberFormat="1" applyFont="1" applyFill="1" applyBorder="1" applyAlignment="1">
      <alignment horizontal="center" vertical="center"/>
    </xf>
    <xf numFmtId="178" fontId="6" fillId="2" borderId="8" xfId="0" applyNumberFormat="1" applyFont="1" applyFill="1" applyBorder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center" vertical="center"/>
    </xf>
    <xf numFmtId="41" fontId="6" fillId="2" borderId="11" xfId="0" applyNumberFormat="1" applyFont="1" applyFill="1" applyBorder="1" applyAlignment="1">
      <alignment horizontal="center" vertical="center"/>
    </xf>
    <xf numFmtId="41" fontId="6" fillId="2" borderId="6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3</xdr:col>
      <xdr:colOff>0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38175"/>
          <a:ext cx="136207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9526</xdr:colOff>
      <xdr:row>3</xdr:row>
      <xdr:rowOff>0</xdr:rowOff>
    </xdr:from>
    <xdr:to>
      <xdr:col>2</xdr:col>
      <xdr:colOff>1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9526" y="638175"/>
          <a:ext cx="83820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63"/>
  <sheetViews>
    <sheetView workbookViewId="0">
      <pane xSplit="5" ySplit="5" topLeftCell="G6" activePane="bottomRight" state="frozen"/>
      <selection pane="topRight" activeCell="T1" sqref="T1"/>
      <selection pane="bottomLeft" activeCell="A6" sqref="A6"/>
      <selection pane="bottomRight" sqref="A1:AH1"/>
    </sheetView>
  </sheetViews>
  <sheetFormatPr defaultRowHeight="16.5"/>
  <cols>
    <col min="1" max="1" width="11.75" customWidth="1"/>
    <col min="2" max="2" width="8.625" customWidth="1"/>
    <col min="3" max="4" width="13.625" hidden="1" customWidth="1"/>
    <col min="5" max="6" width="13.625" style="277" hidden="1" customWidth="1"/>
    <col min="7" max="7" width="13.625" style="605" customWidth="1"/>
    <col min="8" max="9" width="11.625" hidden="1" customWidth="1"/>
    <col min="10" max="10" width="8.625" style="158" hidden="1" customWidth="1"/>
    <col min="11" max="12" width="11.625" style="277" hidden="1" customWidth="1"/>
    <col min="13" max="13" width="8.625" style="158" hidden="1" customWidth="1"/>
    <col min="14" max="15" width="11.625" style="277" hidden="1" customWidth="1"/>
    <col min="16" max="16" width="8.625" style="158" hidden="1" customWidth="1"/>
    <col min="17" max="18" width="11.625" style="277" hidden="1" customWidth="1"/>
    <col min="19" max="19" width="8.625" style="158" hidden="1" customWidth="1"/>
    <col min="20" max="21" width="11.625" style="277" hidden="1" customWidth="1"/>
    <col min="22" max="22" width="8.625" style="158" hidden="1" customWidth="1"/>
    <col min="23" max="24" width="11.625" style="277" hidden="1" customWidth="1"/>
    <col min="25" max="25" width="8.625" style="158" hidden="1" customWidth="1"/>
    <col min="26" max="27" width="11.625" style="277" hidden="1" customWidth="1"/>
    <col min="28" max="28" width="8.625" style="158" hidden="1" customWidth="1"/>
    <col min="29" max="30" width="11.625" style="277" customWidth="1"/>
    <col min="31" max="31" width="8.625" style="158" customWidth="1"/>
    <col min="32" max="33" width="11.625" style="277" customWidth="1"/>
    <col min="34" max="34" width="8.625" style="158" customWidth="1"/>
  </cols>
  <sheetData>
    <row r="1" spans="1:34" ht="22.5">
      <c r="A1" s="736" t="s">
        <v>604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</row>
    <row r="3" spans="1:34">
      <c r="A3" s="2"/>
      <c r="B3" s="2"/>
      <c r="C3" s="2"/>
      <c r="D3" s="2"/>
      <c r="E3" s="278"/>
      <c r="F3" s="278"/>
      <c r="G3" s="502"/>
      <c r="H3" s="2"/>
      <c r="J3" s="426" t="s">
        <v>0</v>
      </c>
      <c r="K3" s="278"/>
      <c r="L3" s="735"/>
      <c r="M3" s="735"/>
      <c r="N3" s="278"/>
      <c r="O3" s="447"/>
      <c r="P3" s="426" t="s">
        <v>0</v>
      </c>
      <c r="Q3" s="278"/>
      <c r="R3" s="735"/>
      <c r="S3" s="735"/>
      <c r="T3" s="278"/>
      <c r="U3" s="447"/>
      <c r="V3" s="451" t="s">
        <v>0</v>
      </c>
      <c r="W3" s="278"/>
      <c r="X3" s="735"/>
      <c r="Y3" s="735"/>
      <c r="Z3" s="278"/>
      <c r="AA3" s="447"/>
      <c r="AB3" s="457" t="s">
        <v>0</v>
      </c>
      <c r="AC3" s="278"/>
      <c r="AD3" s="735"/>
      <c r="AE3" s="735"/>
      <c r="AF3" s="278"/>
      <c r="AG3" s="447"/>
      <c r="AH3" s="472" t="s">
        <v>0</v>
      </c>
    </row>
    <row r="4" spans="1:34" ht="24" customHeight="1">
      <c r="A4" s="731" t="s">
        <v>264</v>
      </c>
      <c r="B4" s="731"/>
      <c r="C4" s="731" t="s">
        <v>2</v>
      </c>
      <c r="D4" s="731" t="s">
        <v>3</v>
      </c>
      <c r="E4" s="731" t="s">
        <v>76</v>
      </c>
      <c r="F4" s="731" t="s">
        <v>294</v>
      </c>
      <c r="G4" s="731" t="s">
        <v>431</v>
      </c>
      <c r="H4" s="731" t="s">
        <v>460</v>
      </c>
      <c r="I4" s="731"/>
      <c r="J4" s="731"/>
      <c r="K4" s="731" t="s">
        <v>461</v>
      </c>
      <c r="L4" s="731"/>
      <c r="M4" s="731"/>
      <c r="N4" s="731" t="s">
        <v>457</v>
      </c>
      <c r="O4" s="731"/>
      <c r="P4" s="731"/>
      <c r="Q4" s="731" t="s">
        <v>477</v>
      </c>
      <c r="R4" s="731"/>
      <c r="S4" s="731"/>
      <c r="T4" s="731" t="s">
        <v>478</v>
      </c>
      <c r="U4" s="731"/>
      <c r="V4" s="731"/>
      <c r="W4" s="731" t="s">
        <v>485</v>
      </c>
      <c r="X4" s="731"/>
      <c r="Y4" s="731"/>
      <c r="Z4" s="731" t="s">
        <v>487</v>
      </c>
      <c r="AA4" s="731"/>
      <c r="AB4" s="731"/>
      <c r="AC4" s="731" t="s">
        <v>492</v>
      </c>
      <c r="AD4" s="731"/>
      <c r="AE4" s="731"/>
      <c r="AF4" s="731" t="s">
        <v>493</v>
      </c>
      <c r="AG4" s="731"/>
      <c r="AH4" s="731"/>
    </row>
    <row r="5" spans="1:34" ht="24" customHeight="1" thickBot="1">
      <c r="A5" s="732"/>
      <c r="B5" s="732"/>
      <c r="C5" s="732"/>
      <c r="D5" s="732"/>
      <c r="E5" s="732"/>
      <c r="F5" s="732"/>
      <c r="G5" s="732"/>
      <c r="H5" s="674" t="s">
        <v>431</v>
      </c>
      <c r="I5" s="674" t="s">
        <v>503</v>
      </c>
      <c r="J5" s="146" t="s">
        <v>5</v>
      </c>
      <c r="K5" s="674" t="s">
        <v>431</v>
      </c>
      <c r="L5" s="674" t="s">
        <v>503</v>
      </c>
      <c r="M5" s="146" t="s">
        <v>5</v>
      </c>
      <c r="N5" s="674" t="s">
        <v>431</v>
      </c>
      <c r="O5" s="674" t="s">
        <v>503</v>
      </c>
      <c r="P5" s="146" t="s">
        <v>5</v>
      </c>
      <c r="Q5" s="674" t="s">
        <v>431</v>
      </c>
      <c r="R5" s="674" t="s">
        <v>503</v>
      </c>
      <c r="S5" s="146" t="s">
        <v>5</v>
      </c>
      <c r="T5" s="674" t="s">
        <v>431</v>
      </c>
      <c r="U5" s="674" t="s">
        <v>503</v>
      </c>
      <c r="V5" s="146" t="s">
        <v>5</v>
      </c>
      <c r="W5" s="674" t="s">
        <v>431</v>
      </c>
      <c r="X5" s="674" t="s">
        <v>503</v>
      </c>
      <c r="Y5" s="146" t="s">
        <v>5</v>
      </c>
      <c r="Z5" s="674" t="s">
        <v>431</v>
      </c>
      <c r="AA5" s="674" t="s">
        <v>503</v>
      </c>
      <c r="AB5" s="146" t="s">
        <v>5</v>
      </c>
      <c r="AC5" s="674" t="s">
        <v>431</v>
      </c>
      <c r="AD5" s="674" t="s">
        <v>503</v>
      </c>
      <c r="AE5" s="146" t="s">
        <v>5</v>
      </c>
      <c r="AF5" s="674" t="s">
        <v>431</v>
      </c>
      <c r="AG5" s="674" t="s">
        <v>503</v>
      </c>
      <c r="AH5" s="146" t="s">
        <v>5</v>
      </c>
    </row>
    <row r="6" spans="1:34" ht="22.5" customHeight="1">
      <c r="A6" s="748" t="s">
        <v>265</v>
      </c>
      <c r="B6" s="132" t="s">
        <v>569</v>
      </c>
      <c r="C6" s="145">
        <f>수출!E33</f>
        <v>686572</v>
      </c>
      <c r="D6" s="145">
        <f>수출!F33</f>
        <v>695520</v>
      </c>
      <c r="E6" s="145">
        <f>수출!G33</f>
        <v>692382</v>
      </c>
      <c r="F6" s="145">
        <f>수출!H33</f>
        <v>689932</v>
      </c>
      <c r="G6" s="498">
        <f>수출!I33</f>
        <v>705061</v>
      </c>
      <c r="H6" s="145">
        <f>수출!J33</f>
        <v>52369</v>
      </c>
      <c r="I6" s="145">
        <f>수출!K33</f>
        <v>56276</v>
      </c>
      <c r="J6" s="147">
        <f>ROUND(((I6/H6-1)*100),1)</f>
        <v>7.5</v>
      </c>
      <c r="K6" s="145">
        <f>N6-H6</f>
        <v>52350</v>
      </c>
      <c r="L6" s="145">
        <f>O6-I6</f>
        <v>58268</v>
      </c>
      <c r="M6" s="147">
        <f>ROUND(((L6/K6-1)*100),1)</f>
        <v>11.3</v>
      </c>
      <c r="N6" s="145">
        <f>수출!P33</f>
        <v>104719</v>
      </c>
      <c r="O6" s="145">
        <f>수출!Q33</f>
        <v>114544</v>
      </c>
      <c r="P6" s="147">
        <f>ROUND(((O6/N6-1)*100),1)</f>
        <v>9.4</v>
      </c>
      <c r="Q6" s="145">
        <f>T6-N6</f>
        <v>53861</v>
      </c>
      <c r="R6" s="145">
        <f>U6-O6</f>
        <v>67119</v>
      </c>
      <c r="S6" s="147">
        <f>ROUND(((R6/Q6-1)*100),1)</f>
        <v>24.6</v>
      </c>
      <c r="T6" s="145">
        <f>수출!V33</f>
        <v>158580</v>
      </c>
      <c r="U6" s="145">
        <f>수출!W33</f>
        <v>181663</v>
      </c>
      <c r="V6" s="147">
        <f>ROUND(((U6/T6-1)*100),1)</f>
        <v>14.6</v>
      </c>
      <c r="W6" s="145">
        <f>Z6-T6</f>
        <v>51930</v>
      </c>
      <c r="X6" s="145">
        <f>AA6-U6</f>
        <v>72996</v>
      </c>
      <c r="Y6" s="147">
        <f>ROUND(((X6/W6-1)*100),1)</f>
        <v>40.6</v>
      </c>
      <c r="Z6" s="145">
        <f>수출!AB33</f>
        <v>210510</v>
      </c>
      <c r="AA6" s="145">
        <f>수출!AC33</f>
        <v>254659</v>
      </c>
      <c r="AB6" s="147">
        <f>ROUND(((AA6/Z6-1)*100),1)</f>
        <v>21</v>
      </c>
      <c r="AC6" s="145">
        <f>AF6-Z6</f>
        <v>48958</v>
      </c>
      <c r="AD6" s="145">
        <f>AG6-AA6</f>
        <v>73796</v>
      </c>
      <c r="AE6" s="147">
        <f>ROUND(((AD6/AC6-1)*100),1)</f>
        <v>50.7</v>
      </c>
      <c r="AF6" s="145">
        <f>수출!AH33</f>
        <v>259468</v>
      </c>
      <c r="AG6" s="145">
        <f>수출!AI33</f>
        <v>328455</v>
      </c>
      <c r="AH6" s="147">
        <f>ROUND(((AG6/AF6-1)*100),1)</f>
        <v>26.6</v>
      </c>
    </row>
    <row r="7" spans="1:34" ht="22.5" customHeight="1">
      <c r="A7" s="730"/>
      <c r="B7" s="4" t="s">
        <v>31</v>
      </c>
      <c r="C7" s="133">
        <f>수출!E34</f>
        <v>3687127</v>
      </c>
      <c r="D7" s="133">
        <f>수출!F34</f>
        <v>4428248</v>
      </c>
      <c r="E7" s="133">
        <f>수출!G34</f>
        <v>4903888</v>
      </c>
      <c r="F7" s="133">
        <f>수출!H34</f>
        <v>4643144</v>
      </c>
      <c r="G7" s="490">
        <f>수출!I34</f>
        <v>4826518</v>
      </c>
      <c r="H7" s="133">
        <f>수출!J34</f>
        <v>350472</v>
      </c>
      <c r="I7" s="133">
        <f>수출!K34</f>
        <v>478744</v>
      </c>
      <c r="J7" s="148">
        <f t="shared" ref="J7:J29" si="0">ROUND(((I7/H7-1)*100),1)</f>
        <v>36.6</v>
      </c>
      <c r="K7" s="133">
        <f>N7-H7</f>
        <v>353913</v>
      </c>
      <c r="L7" s="133">
        <f>O7-I7</f>
        <v>496161</v>
      </c>
      <c r="M7" s="148">
        <f t="shared" ref="M7:M29" si="1">ROUND(((L7/K7-1)*100),1)</f>
        <v>40.200000000000003</v>
      </c>
      <c r="N7" s="133">
        <f>수출!P34</f>
        <v>704385</v>
      </c>
      <c r="O7" s="133">
        <f>수출!Q34</f>
        <v>974905</v>
      </c>
      <c r="P7" s="148">
        <f t="shared" ref="P7:P29" si="2">ROUND(((O7/N7-1)*100),1)</f>
        <v>38.4</v>
      </c>
      <c r="Q7" s="133">
        <f>T7-N7</f>
        <v>365139</v>
      </c>
      <c r="R7" s="133">
        <f>U7-O7</f>
        <v>574058</v>
      </c>
      <c r="S7" s="148">
        <f t="shared" ref="S7:S29" si="3">ROUND(((R7/Q7-1)*100),1)</f>
        <v>57.2</v>
      </c>
      <c r="T7" s="133">
        <f>수출!V34</f>
        <v>1069524</v>
      </c>
      <c r="U7" s="133">
        <f>수출!W34</f>
        <v>1548963</v>
      </c>
      <c r="V7" s="148">
        <f t="shared" ref="V7:V29" si="4">ROUND(((U7/T7-1)*100),1)</f>
        <v>44.8</v>
      </c>
      <c r="W7" s="133">
        <f>Z7-T7</f>
        <v>331401</v>
      </c>
      <c r="X7" s="133">
        <f>AA7-U7</f>
        <v>613845</v>
      </c>
      <c r="Y7" s="148">
        <f t="shared" ref="Y7:Y29" si="5">ROUND(((X7/W7-1)*100),1)</f>
        <v>85.2</v>
      </c>
      <c r="Z7" s="133">
        <f>수출!AB34</f>
        <v>1400925</v>
      </c>
      <c r="AA7" s="133">
        <f>수출!AC34</f>
        <v>2162808</v>
      </c>
      <c r="AB7" s="148">
        <f t="shared" ref="AB7:AB29" si="6">ROUND(((AA7/Z7-1)*100),1)</f>
        <v>54.4</v>
      </c>
      <c r="AC7" s="133">
        <f>AF7-Z7</f>
        <v>302267</v>
      </c>
      <c r="AD7" s="133">
        <f>AG7-AA7</f>
        <v>702452</v>
      </c>
      <c r="AE7" s="148">
        <f t="shared" ref="AE7:AE29" si="7">ROUND(((AD7/AC7-1)*100),1)</f>
        <v>132.4</v>
      </c>
      <c r="AF7" s="133">
        <f>수출!AH34</f>
        <v>1703192</v>
      </c>
      <c r="AG7" s="133">
        <f>수출!AI34</f>
        <v>2865260</v>
      </c>
      <c r="AH7" s="148">
        <f t="shared" ref="AH7:AH29" si="8">ROUND(((AG7/AF7-1)*100),1)</f>
        <v>68.2</v>
      </c>
    </row>
    <row r="8" spans="1:34" ht="22.5" customHeight="1">
      <c r="A8" s="730"/>
      <c r="B8" s="8" t="s">
        <v>266</v>
      </c>
      <c r="C8" s="53">
        <f t="shared" ref="C8:I8" si="9">C7/C6*1000</f>
        <v>5370.3428045419851</v>
      </c>
      <c r="D8" s="53">
        <f t="shared" si="9"/>
        <v>6366.8161950770645</v>
      </c>
      <c r="E8" s="53">
        <f t="shared" si="9"/>
        <v>7082.633575107383</v>
      </c>
      <c r="F8" s="53">
        <f t="shared" si="9"/>
        <v>6729.8574352255</v>
      </c>
      <c r="G8" s="488">
        <f t="shared" ref="G8" si="10">G7/G6*1000</f>
        <v>6845.5325142079901</v>
      </c>
      <c r="H8" s="53">
        <f t="shared" si="9"/>
        <v>6692.3561649067196</v>
      </c>
      <c r="I8" s="53">
        <f t="shared" si="9"/>
        <v>8507.0722865875341</v>
      </c>
      <c r="J8" s="54">
        <f t="shared" si="0"/>
        <v>27.1</v>
      </c>
      <c r="K8" s="53">
        <f>K7/K6*1000</f>
        <v>6760.5157593123213</v>
      </c>
      <c r="L8" s="53">
        <f>L7/L6*1000</f>
        <v>8515.1541154664665</v>
      </c>
      <c r="M8" s="54">
        <f t="shared" si="1"/>
        <v>26</v>
      </c>
      <c r="N8" s="53">
        <f>N7/N6*1000</f>
        <v>6726.4297787412024</v>
      </c>
      <c r="O8" s="53">
        <f>O7/O6*1000</f>
        <v>8511.1834753457188</v>
      </c>
      <c r="P8" s="54">
        <f t="shared" si="2"/>
        <v>26.5</v>
      </c>
      <c r="Q8" s="53">
        <f>Q7/Q6*1000</f>
        <v>6779.2837117766103</v>
      </c>
      <c r="R8" s="53">
        <f>R7/R6*1000</f>
        <v>8552.8389874700169</v>
      </c>
      <c r="S8" s="54">
        <f t="shared" si="3"/>
        <v>26.2</v>
      </c>
      <c r="T8" s="53">
        <f>T7/T6*1000</f>
        <v>6744.381384790011</v>
      </c>
      <c r="U8" s="53">
        <f>U7/U6*1000</f>
        <v>8526.5739308499815</v>
      </c>
      <c r="V8" s="54">
        <f t="shared" si="4"/>
        <v>26.4</v>
      </c>
      <c r="W8" s="53">
        <f>W7/W6*1000</f>
        <v>6381.6868861929524</v>
      </c>
      <c r="X8" s="53">
        <f>X7/X6*1000</f>
        <v>8409.2963998027299</v>
      </c>
      <c r="Y8" s="54">
        <f t="shared" si="5"/>
        <v>31.8</v>
      </c>
      <c r="Z8" s="53">
        <f>Z7/Z6*1000</f>
        <v>6654.9095054866757</v>
      </c>
      <c r="AA8" s="53">
        <f>AA7/AA6*1000</f>
        <v>8492.9572487129844</v>
      </c>
      <c r="AB8" s="54">
        <f t="shared" si="6"/>
        <v>27.6</v>
      </c>
      <c r="AC8" s="53">
        <f>AC7/AC6*1000</f>
        <v>6174.0062911066625</v>
      </c>
      <c r="AD8" s="53">
        <f>AD7/AD6*1000</f>
        <v>9518.835709252533</v>
      </c>
      <c r="AE8" s="54">
        <f t="shared" si="7"/>
        <v>54.2</v>
      </c>
      <c r="AF8" s="53">
        <f>AF7/AF6*1000</f>
        <v>6564.1697627453095</v>
      </c>
      <c r="AG8" s="53">
        <f>AG7/AG6*1000</f>
        <v>8723.4476564521774</v>
      </c>
      <c r="AH8" s="54">
        <f t="shared" si="8"/>
        <v>32.9</v>
      </c>
    </row>
    <row r="9" spans="1:34" ht="22.5" customHeight="1">
      <c r="A9" s="730" t="s">
        <v>267</v>
      </c>
      <c r="B9" s="694" t="s">
        <v>569</v>
      </c>
      <c r="C9" s="74">
        <f>수출!E81</f>
        <v>385180</v>
      </c>
      <c r="D9" s="74">
        <f>수출!F81</f>
        <v>343938</v>
      </c>
      <c r="E9" s="74">
        <f>수출!G81</f>
        <v>357670</v>
      </c>
      <c r="F9" s="74">
        <f>수출!H81</f>
        <v>354654</v>
      </c>
      <c r="G9" s="489">
        <f>수출!I81</f>
        <v>330538</v>
      </c>
      <c r="H9" s="74">
        <f>수출!J81</f>
        <v>35488</v>
      </c>
      <c r="I9" s="74">
        <f>수출!K81</f>
        <v>22133</v>
      </c>
      <c r="J9" s="149">
        <f t="shared" si="0"/>
        <v>-37.6</v>
      </c>
      <c r="K9" s="74">
        <f>N9-H9</f>
        <v>24663</v>
      </c>
      <c r="L9" s="74">
        <f>O9-I9</f>
        <v>30042</v>
      </c>
      <c r="M9" s="149">
        <f t="shared" si="1"/>
        <v>21.8</v>
      </c>
      <c r="N9" s="74">
        <f>수출!P81</f>
        <v>60151</v>
      </c>
      <c r="O9" s="74">
        <f>수출!Q81</f>
        <v>52175</v>
      </c>
      <c r="P9" s="149">
        <f t="shared" si="2"/>
        <v>-13.3</v>
      </c>
      <c r="Q9" s="74">
        <f>T9-N9</f>
        <v>30409</v>
      </c>
      <c r="R9" s="74">
        <f>U9-O9</f>
        <v>19950</v>
      </c>
      <c r="S9" s="149">
        <f t="shared" si="3"/>
        <v>-34.4</v>
      </c>
      <c r="T9" s="74">
        <f>수출!V81</f>
        <v>90560</v>
      </c>
      <c r="U9" s="74">
        <f>수출!W81</f>
        <v>72125</v>
      </c>
      <c r="V9" s="149">
        <f t="shared" si="4"/>
        <v>-20.399999999999999</v>
      </c>
      <c r="W9" s="74">
        <f>Z9-T9</f>
        <v>29472</v>
      </c>
      <c r="X9" s="74">
        <f>AA9-U9</f>
        <v>36898</v>
      </c>
      <c r="Y9" s="149">
        <f t="shared" si="5"/>
        <v>25.2</v>
      </c>
      <c r="Z9" s="74">
        <f>수출!AB81</f>
        <v>120032</v>
      </c>
      <c r="AA9" s="74">
        <f>수출!AC81</f>
        <v>109023</v>
      </c>
      <c r="AB9" s="149">
        <f t="shared" si="6"/>
        <v>-9.1999999999999993</v>
      </c>
      <c r="AC9" s="74">
        <f>AF9-Z9</f>
        <v>19626</v>
      </c>
      <c r="AD9" s="74">
        <f>AG9-AA9</f>
        <v>26681</v>
      </c>
      <c r="AE9" s="149">
        <f t="shared" si="7"/>
        <v>35.9</v>
      </c>
      <c r="AF9" s="74">
        <f>수출!AH81</f>
        <v>139658</v>
      </c>
      <c r="AG9" s="74">
        <f>수출!AI81</f>
        <v>135704</v>
      </c>
      <c r="AH9" s="149">
        <f t="shared" si="8"/>
        <v>-2.8</v>
      </c>
    </row>
    <row r="10" spans="1:34" ht="22.5" customHeight="1">
      <c r="A10" s="730"/>
      <c r="B10" s="4" t="s">
        <v>31</v>
      </c>
      <c r="C10" s="133">
        <f>수출!E82</f>
        <v>777511</v>
      </c>
      <c r="D10" s="133">
        <f>수출!F82</f>
        <v>848363</v>
      </c>
      <c r="E10" s="133">
        <f>수출!G82</f>
        <v>877779</v>
      </c>
      <c r="F10" s="133">
        <f>수출!H82</f>
        <v>775139</v>
      </c>
      <c r="G10" s="490">
        <f>수출!I82</f>
        <v>669202</v>
      </c>
      <c r="H10" s="133">
        <f>수출!J82</f>
        <v>74823</v>
      </c>
      <c r="I10" s="133">
        <f>수출!K82</f>
        <v>49106</v>
      </c>
      <c r="J10" s="148">
        <f t="shared" si="0"/>
        <v>-34.4</v>
      </c>
      <c r="K10" s="133">
        <f>N10-H10</f>
        <v>51357</v>
      </c>
      <c r="L10" s="133">
        <f>O10-I10</f>
        <v>65928</v>
      </c>
      <c r="M10" s="148">
        <f t="shared" si="1"/>
        <v>28.4</v>
      </c>
      <c r="N10" s="133">
        <f>수출!P82</f>
        <v>126180</v>
      </c>
      <c r="O10" s="133">
        <f>수출!Q82</f>
        <v>115034</v>
      </c>
      <c r="P10" s="148">
        <f t="shared" si="2"/>
        <v>-8.8000000000000007</v>
      </c>
      <c r="Q10" s="133">
        <f>T10-N10</f>
        <v>61512</v>
      </c>
      <c r="R10" s="133">
        <f>U10-O10</f>
        <v>45013</v>
      </c>
      <c r="S10" s="148">
        <f t="shared" si="3"/>
        <v>-26.8</v>
      </c>
      <c r="T10" s="133">
        <f>수출!V82</f>
        <v>187692</v>
      </c>
      <c r="U10" s="133">
        <f>수출!W82</f>
        <v>160047</v>
      </c>
      <c r="V10" s="148">
        <f t="shared" si="4"/>
        <v>-14.7</v>
      </c>
      <c r="W10" s="133">
        <f>Z10-T10</f>
        <v>55376</v>
      </c>
      <c r="X10" s="133">
        <f>AA10-U10</f>
        <v>79959</v>
      </c>
      <c r="Y10" s="148">
        <f t="shared" si="5"/>
        <v>44.4</v>
      </c>
      <c r="Z10" s="133">
        <f>수출!AB82</f>
        <v>243068</v>
      </c>
      <c r="AA10" s="133">
        <f>수출!AC82</f>
        <v>240006</v>
      </c>
      <c r="AB10" s="148">
        <f t="shared" si="6"/>
        <v>-1.3</v>
      </c>
      <c r="AC10" s="133">
        <f>AF10-Z10</f>
        <v>36455</v>
      </c>
      <c r="AD10" s="133">
        <f>AG10-AA10</f>
        <v>61172</v>
      </c>
      <c r="AE10" s="148">
        <f t="shared" si="7"/>
        <v>67.8</v>
      </c>
      <c r="AF10" s="133">
        <f>수출!AH82</f>
        <v>279523</v>
      </c>
      <c r="AG10" s="133">
        <f>수출!AI82</f>
        <v>301178</v>
      </c>
      <c r="AH10" s="148">
        <f t="shared" si="8"/>
        <v>7.7</v>
      </c>
    </row>
    <row r="11" spans="1:34" ht="22.5" customHeight="1">
      <c r="A11" s="730"/>
      <c r="B11" s="8" t="s">
        <v>266</v>
      </c>
      <c r="C11" s="53">
        <f t="shared" ref="C11:I11" si="11">C10/C9*1000</f>
        <v>2018.5653460719664</v>
      </c>
      <c r="D11" s="53">
        <f t="shared" si="11"/>
        <v>2466.6160761532601</v>
      </c>
      <c r="E11" s="53">
        <f t="shared" si="11"/>
        <v>2454.1588615203959</v>
      </c>
      <c r="F11" s="53">
        <f t="shared" si="11"/>
        <v>2185.6203511027647</v>
      </c>
      <c r="G11" s="488">
        <f t="shared" ref="G11" si="12">G10/G9*1000</f>
        <v>2024.5841627891496</v>
      </c>
      <c r="H11" s="53">
        <f t="shared" si="11"/>
        <v>2108.4028403967541</v>
      </c>
      <c r="I11" s="53">
        <f t="shared" si="11"/>
        <v>2218.6779921384359</v>
      </c>
      <c r="J11" s="54">
        <f t="shared" si="0"/>
        <v>5.2</v>
      </c>
      <c r="K11" s="53">
        <f>K10/K9*1000</f>
        <v>2082.3500790658072</v>
      </c>
      <c r="L11" s="53">
        <f>L10/L9*1000</f>
        <v>2194.5276612742164</v>
      </c>
      <c r="M11" s="54">
        <f t="shared" si="1"/>
        <v>5.4</v>
      </c>
      <c r="N11" s="53">
        <f>N10/N9*1000</f>
        <v>2097.7207361473625</v>
      </c>
      <c r="O11" s="53">
        <f>O10/O9*1000</f>
        <v>2204.7724005749878</v>
      </c>
      <c r="P11" s="54">
        <f t="shared" si="2"/>
        <v>5.0999999999999996</v>
      </c>
      <c r="Q11" s="53">
        <f>Q10/Q9*1000</f>
        <v>2022.822190798777</v>
      </c>
      <c r="R11" s="53">
        <f>R10/R9*1000</f>
        <v>2256.2907268170425</v>
      </c>
      <c r="S11" s="54">
        <f t="shared" si="3"/>
        <v>11.5</v>
      </c>
      <c r="T11" s="53">
        <f>T10/T9*1000</f>
        <v>2072.5706713780919</v>
      </c>
      <c r="U11" s="53">
        <f>U10/U9*1000</f>
        <v>2219.0225303292896</v>
      </c>
      <c r="V11" s="54">
        <f t="shared" si="4"/>
        <v>7.1</v>
      </c>
      <c r="W11" s="53">
        <f>W10/W9*1000</f>
        <v>1878.9359391965254</v>
      </c>
      <c r="X11" s="53">
        <f>X10/X9*1000</f>
        <v>2167.0280231990896</v>
      </c>
      <c r="Y11" s="54">
        <f t="shared" si="5"/>
        <v>15.3</v>
      </c>
      <c r="Z11" s="53">
        <f>Z10/Z9*1000</f>
        <v>2025.0266595574512</v>
      </c>
      <c r="AA11" s="53">
        <f>AA10/AA9*1000</f>
        <v>2201.4253873035964</v>
      </c>
      <c r="AB11" s="54">
        <f t="shared" si="6"/>
        <v>8.6999999999999993</v>
      </c>
      <c r="AC11" s="53">
        <f>AC10/AC9*1000</f>
        <v>1857.4849689187811</v>
      </c>
      <c r="AD11" s="53">
        <f>AD10/AD9*1000</f>
        <v>2292.7176642554628</v>
      </c>
      <c r="AE11" s="54">
        <f t="shared" si="7"/>
        <v>23.4</v>
      </c>
      <c r="AF11" s="53">
        <f>AF10/AF9*1000</f>
        <v>2001.4821922124045</v>
      </c>
      <c r="AG11" s="53">
        <f>AG10/AG9*1000</f>
        <v>2219.3745210163297</v>
      </c>
      <c r="AH11" s="54">
        <f t="shared" si="8"/>
        <v>10.9</v>
      </c>
    </row>
    <row r="12" spans="1:34" ht="22.5" customHeight="1">
      <c r="A12" s="730" t="s">
        <v>268</v>
      </c>
      <c r="B12" s="694" t="s">
        <v>569</v>
      </c>
      <c r="C12" s="74">
        <f>수출!E72</f>
        <v>589945</v>
      </c>
      <c r="D12" s="74">
        <f>수출!F72</f>
        <v>551877</v>
      </c>
      <c r="E12" s="74">
        <f>수출!G72</f>
        <v>610819</v>
      </c>
      <c r="F12" s="74">
        <f>수출!H72</f>
        <v>570123</v>
      </c>
      <c r="G12" s="489">
        <f>수출!I72</f>
        <v>626337</v>
      </c>
      <c r="H12" s="74">
        <f>수출!J72</f>
        <v>47366</v>
      </c>
      <c r="I12" s="74">
        <f>수출!K72</f>
        <v>43407</v>
      </c>
      <c r="J12" s="149">
        <f t="shared" si="0"/>
        <v>-8.4</v>
      </c>
      <c r="K12" s="74">
        <f>N12-H12</f>
        <v>45190</v>
      </c>
      <c r="L12" s="74">
        <f>O12-I12</f>
        <v>48411</v>
      </c>
      <c r="M12" s="149">
        <f t="shared" si="1"/>
        <v>7.1</v>
      </c>
      <c r="N12" s="74">
        <f>수출!P72</f>
        <v>92556</v>
      </c>
      <c r="O12" s="74">
        <f>수출!Q72</f>
        <v>91818</v>
      </c>
      <c r="P12" s="149">
        <f t="shared" si="2"/>
        <v>-0.8</v>
      </c>
      <c r="Q12" s="74">
        <f>T12-N12</f>
        <v>63238</v>
      </c>
      <c r="R12" s="74">
        <f>U12-O12</f>
        <v>59361</v>
      </c>
      <c r="S12" s="149">
        <f t="shared" si="3"/>
        <v>-6.1</v>
      </c>
      <c r="T12" s="74">
        <f>수출!V72</f>
        <v>155794</v>
      </c>
      <c r="U12" s="74">
        <f>수출!W72</f>
        <v>151179</v>
      </c>
      <c r="V12" s="149">
        <f t="shared" si="4"/>
        <v>-3</v>
      </c>
      <c r="W12" s="74">
        <f>Z12-T12</f>
        <v>53934</v>
      </c>
      <c r="X12" s="74">
        <f>AA12-U12</f>
        <v>52371</v>
      </c>
      <c r="Y12" s="149">
        <f t="shared" si="5"/>
        <v>-2.9</v>
      </c>
      <c r="Z12" s="74">
        <f>수출!AB72</f>
        <v>209728</v>
      </c>
      <c r="AA12" s="74">
        <f>수출!AC72</f>
        <v>203550</v>
      </c>
      <c r="AB12" s="149">
        <f t="shared" si="6"/>
        <v>-2.9</v>
      </c>
      <c r="AC12" s="74">
        <f>AF12-Z12</f>
        <v>46025</v>
      </c>
      <c r="AD12" s="74">
        <f>AG12-AA12</f>
        <v>52025</v>
      </c>
      <c r="AE12" s="149">
        <f t="shared" si="7"/>
        <v>13</v>
      </c>
      <c r="AF12" s="74">
        <f>수출!AH72</f>
        <v>255753</v>
      </c>
      <c r="AG12" s="74">
        <f>수출!AI72</f>
        <v>255575</v>
      </c>
      <c r="AH12" s="149">
        <f t="shared" si="8"/>
        <v>-0.1</v>
      </c>
    </row>
    <row r="13" spans="1:34" ht="22.5" customHeight="1">
      <c r="A13" s="730"/>
      <c r="B13" s="4" t="s">
        <v>31</v>
      </c>
      <c r="C13" s="133">
        <f>수출!E73</f>
        <v>1300839</v>
      </c>
      <c r="D13" s="133">
        <f>수출!F73</f>
        <v>1653856</v>
      </c>
      <c r="E13" s="133">
        <f>수출!G73</f>
        <v>1879192</v>
      </c>
      <c r="F13" s="133">
        <f>수출!H73</f>
        <v>1533905</v>
      </c>
      <c r="G13" s="490">
        <f>수출!I73</f>
        <v>1477857</v>
      </c>
      <c r="H13" s="133">
        <f>수출!J73</f>
        <v>114740</v>
      </c>
      <c r="I13" s="133">
        <f>수출!K73</f>
        <v>123022</v>
      </c>
      <c r="J13" s="148">
        <f t="shared" si="0"/>
        <v>7.2</v>
      </c>
      <c r="K13" s="133">
        <f>N13-H13</f>
        <v>107474</v>
      </c>
      <c r="L13" s="133">
        <f>O13-I13</f>
        <v>136824</v>
      </c>
      <c r="M13" s="148">
        <f t="shared" si="1"/>
        <v>27.3</v>
      </c>
      <c r="N13" s="133">
        <f>수출!P73</f>
        <v>222214</v>
      </c>
      <c r="O13" s="133">
        <f>수출!Q73</f>
        <v>259846</v>
      </c>
      <c r="P13" s="148">
        <f t="shared" si="2"/>
        <v>16.899999999999999</v>
      </c>
      <c r="Q13" s="133">
        <f>T13-N13</f>
        <v>134012</v>
      </c>
      <c r="R13" s="133">
        <f>U13-O13</f>
        <v>170538</v>
      </c>
      <c r="S13" s="148">
        <f t="shared" si="3"/>
        <v>27.3</v>
      </c>
      <c r="T13" s="133">
        <f>수출!V73</f>
        <v>356226</v>
      </c>
      <c r="U13" s="133">
        <f>수출!W73</f>
        <v>430384</v>
      </c>
      <c r="V13" s="148">
        <f t="shared" si="4"/>
        <v>20.8</v>
      </c>
      <c r="W13" s="133">
        <f>Z13-T13</f>
        <v>111310</v>
      </c>
      <c r="X13" s="133">
        <f>AA13-U13</f>
        <v>152451</v>
      </c>
      <c r="Y13" s="148">
        <f t="shared" si="5"/>
        <v>37</v>
      </c>
      <c r="Z13" s="133">
        <f>수출!AB73</f>
        <v>467536</v>
      </c>
      <c r="AA13" s="133">
        <f>수출!AC73</f>
        <v>582835</v>
      </c>
      <c r="AB13" s="148">
        <f t="shared" si="6"/>
        <v>24.7</v>
      </c>
      <c r="AC13" s="133">
        <f>AF13-Z13</f>
        <v>94126</v>
      </c>
      <c r="AD13" s="133">
        <f>AG13-AA13</f>
        <v>155949</v>
      </c>
      <c r="AE13" s="148">
        <f t="shared" si="7"/>
        <v>65.7</v>
      </c>
      <c r="AF13" s="133">
        <f>수출!AH73</f>
        <v>561662</v>
      </c>
      <c r="AG13" s="133">
        <f>수출!AI73</f>
        <v>738784</v>
      </c>
      <c r="AH13" s="148">
        <f t="shared" si="8"/>
        <v>31.5</v>
      </c>
    </row>
    <row r="14" spans="1:34" ht="22.5" customHeight="1">
      <c r="A14" s="730"/>
      <c r="B14" s="8" t="s">
        <v>266</v>
      </c>
      <c r="C14" s="53">
        <f t="shared" ref="C14:I14" si="13">C13/C12*1000</f>
        <v>2205.0174168778444</v>
      </c>
      <c r="D14" s="53">
        <f t="shared" si="13"/>
        <v>2996.7837036151172</v>
      </c>
      <c r="E14" s="53">
        <f t="shared" si="13"/>
        <v>3076.5120272945014</v>
      </c>
      <c r="F14" s="53">
        <f t="shared" si="13"/>
        <v>2690.4808260673576</v>
      </c>
      <c r="G14" s="488">
        <f t="shared" ref="G14" si="14">G13/G12*1000</f>
        <v>2359.5237068862289</v>
      </c>
      <c r="H14" s="53">
        <f t="shared" si="13"/>
        <v>2422.4127010936118</v>
      </c>
      <c r="I14" s="53">
        <f t="shared" si="13"/>
        <v>2834.1511737738151</v>
      </c>
      <c r="J14" s="54">
        <f t="shared" si="0"/>
        <v>17</v>
      </c>
      <c r="K14" s="53">
        <f>K13/K12*1000</f>
        <v>2378.2695286567823</v>
      </c>
      <c r="L14" s="53">
        <f>L13/L12*1000</f>
        <v>2826.2998078948999</v>
      </c>
      <c r="M14" s="54">
        <f t="shared" si="1"/>
        <v>18.8</v>
      </c>
      <c r="N14" s="53">
        <f>N13/N12*1000</f>
        <v>2400.8600198798567</v>
      </c>
      <c r="O14" s="53">
        <f>O13/O12*1000</f>
        <v>2830.0115445773158</v>
      </c>
      <c r="P14" s="54">
        <f t="shared" si="2"/>
        <v>17.899999999999999</v>
      </c>
      <c r="Q14" s="53">
        <f>Q13/Q12*1000</f>
        <v>2119.1688541699609</v>
      </c>
      <c r="R14" s="53">
        <f>R13/R12*1000</f>
        <v>2872.896346085814</v>
      </c>
      <c r="S14" s="54">
        <f t="shared" si="3"/>
        <v>35.6</v>
      </c>
      <c r="T14" s="53">
        <f>T13/T12*1000</f>
        <v>2286.5193781532021</v>
      </c>
      <c r="U14" s="53">
        <f>U13/U12*1000</f>
        <v>2846.850422347019</v>
      </c>
      <c r="V14" s="54">
        <f t="shared" si="4"/>
        <v>24.5</v>
      </c>
      <c r="W14" s="53">
        <f>W13/W12*1000</f>
        <v>2063.8187414247041</v>
      </c>
      <c r="X14" s="53">
        <f>X13/X12*1000</f>
        <v>2910.981268259151</v>
      </c>
      <c r="Y14" s="54">
        <f t="shared" si="5"/>
        <v>41</v>
      </c>
      <c r="Z14" s="53">
        <f>Z13/Z12*1000</f>
        <v>2229.2493133963994</v>
      </c>
      <c r="AA14" s="53">
        <f>AA13/AA12*1000</f>
        <v>2863.3505281257676</v>
      </c>
      <c r="AB14" s="54">
        <f t="shared" si="6"/>
        <v>28.4</v>
      </c>
      <c r="AC14" s="53">
        <f>AC13/AC12*1000</f>
        <v>2045.1059206952741</v>
      </c>
      <c r="AD14" s="53">
        <f>AD13/AD12*1000</f>
        <v>2997.5780874579527</v>
      </c>
      <c r="AE14" s="54">
        <f t="shared" si="7"/>
        <v>46.6</v>
      </c>
      <c r="AF14" s="53">
        <f>AF13/AF12*1000</f>
        <v>2196.1110915609984</v>
      </c>
      <c r="AG14" s="53">
        <f>AG13/AG12*1000</f>
        <v>2890.6739704587694</v>
      </c>
      <c r="AH14" s="54">
        <f t="shared" si="8"/>
        <v>31.6</v>
      </c>
    </row>
    <row r="15" spans="1:34" ht="22.5" customHeight="1">
      <c r="A15" s="730" t="s">
        <v>269</v>
      </c>
      <c r="B15" s="694" t="s">
        <v>569</v>
      </c>
      <c r="C15" s="74">
        <f>수출!E63</f>
        <v>798525</v>
      </c>
      <c r="D15" s="74">
        <f>수출!F63</f>
        <v>883405</v>
      </c>
      <c r="E15" s="74">
        <f>수출!G63</f>
        <v>1022556</v>
      </c>
      <c r="F15" s="74">
        <f>수출!H63</f>
        <v>1084232</v>
      </c>
      <c r="G15" s="489">
        <f>수출!I63</f>
        <v>1223504</v>
      </c>
      <c r="H15" s="74">
        <f>수출!J63</f>
        <v>94522</v>
      </c>
      <c r="I15" s="74">
        <f>수출!K63</f>
        <v>97834</v>
      </c>
      <c r="J15" s="149">
        <f t="shared" si="0"/>
        <v>3.5</v>
      </c>
      <c r="K15" s="74">
        <f>N15-H15</f>
        <v>99026</v>
      </c>
      <c r="L15" s="74">
        <f>O15-I15</f>
        <v>88601</v>
      </c>
      <c r="M15" s="149">
        <f t="shared" si="1"/>
        <v>-10.5</v>
      </c>
      <c r="N15" s="74">
        <f>수출!P63</f>
        <v>193548</v>
      </c>
      <c r="O15" s="74">
        <f>수출!Q63</f>
        <v>186435</v>
      </c>
      <c r="P15" s="149">
        <f t="shared" si="2"/>
        <v>-3.7</v>
      </c>
      <c r="Q15" s="74">
        <f>T15-N15</f>
        <v>105397</v>
      </c>
      <c r="R15" s="74">
        <f>U15-O15</f>
        <v>117782</v>
      </c>
      <c r="S15" s="149">
        <f t="shared" si="3"/>
        <v>11.8</v>
      </c>
      <c r="T15" s="74">
        <f>수출!V63</f>
        <v>298945</v>
      </c>
      <c r="U15" s="74">
        <f>수출!W63</f>
        <v>304217</v>
      </c>
      <c r="V15" s="149">
        <f t="shared" si="4"/>
        <v>1.8</v>
      </c>
      <c r="W15" s="74">
        <f>Z15-T15</f>
        <v>89952</v>
      </c>
      <c r="X15" s="74">
        <f>AA15-U15</f>
        <v>111579</v>
      </c>
      <c r="Y15" s="149">
        <f t="shared" si="5"/>
        <v>24</v>
      </c>
      <c r="Z15" s="74">
        <f>수출!AB63</f>
        <v>388897</v>
      </c>
      <c r="AA15" s="74">
        <f>수출!AC63</f>
        <v>415796</v>
      </c>
      <c r="AB15" s="149">
        <f t="shared" si="6"/>
        <v>6.9</v>
      </c>
      <c r="AC15" s="74">
        <f>AF15-Z15</f>
        <v>93478</v>
      </c>
      <c r="AD15" s="74">
        <f>AG15-AA15</f>
        <v>113211</v>
      </c>
      <c r="AE15" s="149">
        <f t="shared" si="7"/>
        <v>21.1</v>
      </c>
      <c r="AF15" s="74">
        <f>수출!AH63</f>
        <v>482375</v>
      </c>
      <c r="AG15" s="74">
        <f>수출!AI63</f>
        <v>529007</v>
      </c>
      <c r="AH15" s="149">
        <f t="shared" si="8"/>
        <v>9.6999999999999993</v>
      </c>
    </row>
    <row r="16" spans="1:34" ht="22.5" customHeight="1">
      <c r="A16" s="730"/>
      <c r="B16" s="4" t="s">
        <v>31</v>
      </c>
      <c r="C16" s="133">
        <f>수출!E64</f>
        <v>2577684</v>
      </c>
      <c r="D16" s="133">
        <f>수출!F64</f>
        <v>3023657</v>
      </c>
      <c r="E16" s="133">
        <f>수출!G64</f>
        <v>3654026</v>
      </c>
      <c r="F16" s="133">
        <f>수출!H64</f>
        <v>3522410</v>
      </c>
      <c r="G16" s="490">
        <f>수출!I64</f>
        <v>3618515</v>
      </c>
      <c r="H16" s="133">
        <f>수출!J64</f>
        <v>291976</v>
      </c>
      <c r="I16" s="133">
        <f>수출!K64</f>
        <v>337539</v>
      </c>
      <c r="J16" s="148">
        <f t="shared" si="0"/>
        <v>15.6</v>
      </c>
      <c r="K16" s="133">
        <f>N16-H16</f>
        <v>295538</v>
      </c>
      <c r="L16" s="133">
        <f>O16-I16</f>
        <v>307806</v>
      </c>
      <c r="M16" s="148">
        <f t="shared" si="1"/>
        <v>4.2</v>
      </c>
      <c r="N16" s="133">
        <f>수출!P64</f>
        <v>587514</v>
      </c>
      <c r="O16" s="133">
        <f>수출!Q64</f>
        <v>645345</v>
      </c>
      <c r="P16" s="148">
        <f t="shared" si="2"/>
        <v>9.8000000000000007</v>
      </c>
      <c r="Q16" s="133">
        <f>T16-N16</f>
        <v>321927</v>
      </c>
      <c r="R16" s="133">
        <f>U16-O16</f>
        <v>396872</v>
      </c>
      <c r="S16" s="148">
        <f t="shared" si="3"/>
        <v>23.3</v>
      </c>
      <c r="T16" s="133">
        <f>수출!V64</f>
        <v>909441</v>
      </c>
      <c r="U16" s="133">
        <f>수출!W64</f>
        <v>1042217</v>
      </c>
      <c r="V16" s="148">
        <f t="shared" si="4"/>
        <v>14.6</v>
      </c>
      <c r="W16" s="133">
        <f>Z16-T16</f>
        <v>271309</v>
      </c>
      <c r="X16" s="133">
        <f>AA16-U16</f>
        <v>397007</v>
      </c>
      <c r="Y16" s="148">
        <f t="shared" si="5"/>
        <v>46.3</v>
      </c>
      <c r="Z16" s="133">
        <f>수출!AB64</f>
        <v>1180750</v>
      </c>
      <c r="AA16" s="133">
        <f>수출!AC64</f>
        <v>1439224</v>
      </c>
      <c r="AB16" s="148">
        <f t="shared" si="6"/>
        <v>21.9</v>
      </c>
      <c r="AC16" s="133">
        <f>AF16-Z16</f>
        <v>252207</v>
      </c>
      <c r="AD16" s="133">
        <f>AG16-AA16</f>
        <v>404685</v>
      </c>
      <c r="AE16" s="148">
        <f t="shared" si="7"/>
        <v>60.5</v>
      </c>
      <c r="AF16" s="133">
        <f>수출!AH64</f>
        <v>1432957</v>
      </c>
      <c r="AG16" s="133">
        <f>수출!AI64</f>
        <v>1843909</v>
      </c>
      <c r="AH16" s="148">
        <f t="shared" si="8"/>
        <v>28.7</v>
      </c>
    </row>
    <row r="17" spans="1:34" ht="22.5" customHeight="1">
      <c r="A17" s="730"/>
      <c r="B17" s="8" t="s">
        <v>266</v>
      </c>
      <c r="C17" s="53">
        <f t="shared" ref="C17:I17" si="15">C16/C15*1000</f>
        <v>3228.056729595191</v>
      </c>
      <c r="D17" s="53">
        <f t="shared" si="15"/>
        <v>3422.7302313208552</v>
      </c>
      <c r="E17" s="53">
        <f t="shared" si="15"/>
        <v>3573.4238516032374</v>
      </c>
      <c r="F17" s="53">
        <f t="shared" si="15"/>
        <v>3248.7604129005599</v>
      </c>
      <c r="G17" s="488">
        <f t="shared" ref="G17" si="16">G16/G15*1000</f>
        <v>2957.5015692633615</v>
      </c>
      <c r="H17" s="53">
        <f t="shared" si="15"/>
        <v>3088.9739954719535</v>
      </c>
      <c r="I17" s="53">
        <f t="shared" si="15"/>
        <v>3450.1195903264711</v>
      </c>
      <c r="J17" s="54">
        <f t="shared" si="0"/>
        <v>11.7</v>
      </c>
      <c r="K17" s="53">
        <f>K16/K15*1000</f>
        <v>2984.4485286692384</v>
      </c>
      <c r="L17" s="53">
        <f>L16/L15*1000</f>
        <v>3474.0691414318121</v>
      </c>
      <c r="M17" s="54">
        <f t="shared" si="1"/>
        <v>16.399999999999999</v>
      </c>
      <c r="N17" s="53">
        <f>N16/N15*1000</f>
        <v>3035.4950709901418</v>
      </c>
      <c r="O17" s="53">
        <f>O16/O15*1000</f>
        <v>3461.5013275404294</v>
      </c>
      <c r="P17" s="54">
        <f t="shared" si="2"/>
        <v>14</v>
      </c>
      <c r="Q17" s="53">
        <f>Q16/Q15*1000</f>
        <v>3054.4228014080099</v>
      </c>
      <c r="R17" s="53">
        <f>R16/R15*1000</f>
        <v>3369.5471294425292</v>
      </c>
      <c r="S17" s="54">
        <f t="shared" si="3"/>
        <v>10.3</v>
      </c>
      <c r="T17" s="53">
        <f>T16/T15*1000</f>
        <v>3042.1682918262559</v>
      </c>
      <c r="U17" s="53">
        <f>U16/U15*1000</f>
        <v>3425.8999332713161</v>
      </c>
      <c r="V17" s="54">
        <f t="shared" si="4"/>
        <v>12.6</v>
      </c>
      <c r="W17" s="53">
        <f>W16/W15*1000</f>
        <v>3016.1530594094629</v>
      </c>
      <c r="X17" s="53">
        <f>X16/X15*1000</f>
        <v>3558.0799254339977</v>
      </c>
      <c r="Y17" s="54">
        <f t="shared" si="5"/>
        <v>18</v>
      </c>
      <c r="Z17" s="53">
        <f>Z16/Z15*1000</f>
        <v>3036.1509602799711</v>
      </c>
      <c r="AA17" s="53">
        <f>AA16/AA15*1000</f>
        <v>3461.3704797544947</v>
      </c>
      <c r="AB17" s="54">
        <f t="shared" si="6"/>
        <v>14</v>
      </c>
      <c r="AC17" s="53">
        <f>AC16/AC15*1000</f>
        <v>2698.0359014955393</v>
      </c>
      <c r="AD17" s="53">
        <f>AD16/AD15*1000</f>
        <v>3574.6084744415298</v>
      </c>
      <c r="AE17" s="54">
        <f t="shared" si="7"/>
        <v>32.5</v>
      </c>
      <c r="AF17" s="53">
        <f>AF16/AF15*1000</f>
        <v>2970.6286602746827</v>
      </c>
      <c r="AG17" s="53">
        <f>AG16/AG15*1000</f>
        <v>3485.604160247407</v>
      </c>
      <c r="AH17" s="54">
        <f t="shared" si="8"/>
        <v>17.3</v>
      </c>
    </row>
    <row r="18" spans="1:34" ht="22.5" customHeight="1">
      <c r="A18" s="730" t="s">
        <v>270</v>
      </c>
      <c r="B18" s="694" t="s">
        <v>569</v>
      </c>
      <c r="C18" s="74">
        <f>수출!E90</f>
        <v>23074</v>
      </c>
      <c r="D18" s="74">
        <f>수출!F90</f>
        <v>16569</v>
      </c>
      <c r="E18" s="74">
        <f>수출!G90</f>
        <v>12445</v>
      </c>
      <c r="F18" s="74">
        <f>수출!H90</f>
        <v>21792</v>
      </c>
      <c r="G18" s="489">
        <f>수출!I90</f>
        <v>14909</v>
      </c>
      <c r="H18" s="74">
        <f>수출!J90</f>
        <v>1072</v>
      </c>
      <c r="I18" s="74">
        <f>수출!K90</f>
        <v>1355</v>
      </c>
      <c r="J18" s="149">
        <f t="shared" si="0"/>
        <v>26.4</v>
      </c>
      <c r="K18" s="74">
        <f>N18-H18</f>
        <v>974</v>
      </c>
      <c r="L18" s="74">
        <f>O18-I18</f>
        <v>1605</v>
      </c>
      <c r="M18" s="149">
        <f t="shared" si="1"/>
        <v>64.8</v>
      </c>
      <c r="N18" s="74">
        <f>수출!P90</f>
        <v>2046</v>
      </c>
      <c r="O18" s="74">
        <f>수출!Q90</f>
        <v>2960</v>
      </c>
      <c r="P18" s="149">
        <f t="shared" si="2"/>
        <v>44.7</v>
      </c>
      <c r="Q18" s="74">
        <f>T18-N18</f>
        <v>1460</v>
      </c>
      <c r="R18" s="74">
        <f>U18-O18</f>
        <v>1275</v>
      </c>
      <c r="S18" s="149">
        <f t="shared" si="3"/>
        <v>-12.7</v>
      </c>
      <c r="T18" s="74">
        <f>수출!V90</f>
        <v>3506</v>
      </c>
      <c r="U18" s="74">
        <f>수출!W90</f>
        <v>4235</v>
      </c>
      <c r="V18" s="149">
        <f t="shared" si="4"/>
        <v>20.8</v>
      </c>
      <c r="W18" s="74">
        <f>Z18-T18</f>
        <v>1399</v>
      </c>
      <c r="X18" s="74">
        <f>AA18-U18</f>
        <v>1966</v>
      </c>
      <c r="Y18" s="149">
        <f t="shared" si="5"/>
        <v>40.5</v>
      </c>
      <c r="Z18" s="74">
        <f>수출!AB90</f>
        <v>4905</v>
      </c>
      <c r="AA18" s="74">
        <f>수출!AC90</f>
        <v>6201</v>
      </c>
      <c r="AB18" s="149">
        <f t="shared" si="6"/>
        <v>26.4</v>
      </c>
      <c r="AC18" s="74">
        <f>AF18-Z18</f>
        <v>1260</v>
      </c>
      <c r="AD18" s="74">
        <f>AG18-AA18</f>
        <v>1482</v>
      </c>
      <c r="AE18" s="149">
        <f t="shared" si="7"/>
        <v>17.600000000000001</v>
      </c>
      <c r="AF18" s="74">
        <f>수출!AH90</f>
        <v>6165</v>
      </c>
      <c r="AG18" s="74">
        <f>수출!AI90</f>
        <v>7683</v>
      </c>
      <c r="AH18" s="149">
        <f t="shared" si="8"/>
        <v>24.6</v>
      </c>
    </row>
    <row r="19" spans="1:34" ht="22.5" customHeight="1">
      <c r="A19" s="730"/>
      <c r="B19" s="4" t="s">
        <v>31</v>
      </c>
      <c r="C19" s="133">
        <f>수출!E91</f>
        <v>182177</v>
      </c>
      <c r="D19" s="133">
        <f>수출!F91</f>
        <v>150939</v>
      </c>
      <c r="E19" s="133">
        <f>수출!G91</f>
        <v>142283</v>
      </c>
      <c r="F19" s="133">
        <f>수출!H91</f>
        <v>186009</v>
      </c>
      <c r="G19" s="490">
        <f>수출!I91</f>
        <v>145806</v>
      </c>
      <c r="H19" s="133">
        <f>수출!J91</f>
        <v>10355</v>
      </c>
      <c r="I19" s="133">
        <f>수출!K91</f>
        <v>14003</v>
      </c>
      <c r="J19" s="148">
        <f t="shared" si="0"/>
        <v>35.200000000000003</v>
      </c>
      <c r="K19" s="133">
        <f>N19-H19</f>
        <v>11118</v>
      </c>
      <c r="L19" s="133">
        <f>O19-I19</f>
        <v>12268</v>
      </c>
      <c r="M19" s="148">
        <f t="shared" si="1"/>
        <v>10.3</v>
      </c>
      <c r="N19" s="133">
        <f>수출!P91</f>
        <v>21473</v>
      </c>
      <c r="O19" s="133">
        <f>수출!Q91</f>
        <v>26271</v>
      </c>
      <c r="P19" s="148">
        <f t="shared" si="2"/>
        <v>22.3</v>
      </c>
      <c r="Q19" s="133">
        <f>T19-N19</f>
        <v>11842</v>
      </c>
      <c r="R19" s="133">
        <f>U19-O19</f>
        <v>13402</v>
      </c>
      <c r="S19" s="148">
        <f t="shared" si="3"/>
        <v>13.2</v>
      </c>
      <c r="T19" s="133">
        <f>수출!V91</f>
        <v>33315</v>
      </c>
      <c r="U19" s="133">
        <f>수출!W91</f>
        <v>39673</v>
      </c>
      <c r="V19" s="148">
        <f t="shared" si="4"/>
        <v>19.100000000000001</v>
      </c>
      <c r="W19" s="133">
        <f>Z19-T19</f>
        <v>8951</v>
      </c>
      <c r="X19" s="133">
        <f>AA19-U19</f>
        <v>14761</v>
      </c>
      <c r="Y19" s="148">
        <f t="shared" si="5"/>
        <v>64.900000000000006</v>
      </c>
      <c r="Z19" s="133">
        <f>수출!AB91</f>
        <v>42266</v>
      </c>
      <c r="AA19" s="133">
        <f>수출!AC91</f>
        <v>54434</v>
      </c>
      <c r="AB19" s="148">
        <f t="shared" si="6"/>
        <v>28.8</v>
      </c>
      <c r="AC19" s="133">
        <f>AF19-Z19</f>
        <v>12063</v>
      </c>
      <c r="AD19" s="133">
        <f>AG19-AA19</f>
        <v>14671</v>
      </c>
      <c r="AE19" s="148">
        <f t="shared" si="7"/>
        <v>21.6</v>
      </c>
      <c r="AF19" s="133">
        <f>수출!AH91</f>
        <v>54329</v>
      </c>
      <c r="AG19" s="133">
        <f>수출!AI91</f>
        <v>69105</v>
      </c>
      <c r="AH19" s="148">
        <f t="shared" si="8"/>
        <v>27.2</v>
      </c>
    </row>
    <row r="20" spans="1:34" ht="22.5" customHeight="1">
      <c r="A20" s="730"/>
      <c r="B20" s="8" t="s">
        <v>266</v>
      </c>
      <c r="C20" s="53">
        <f t="shared" ref="C20:I20" si="17">C19/C18*1000</f>
        <v>7895.336742654069</v>
      </c>
      <c r="D20" s="53">
        <f t="shared" si="17"/>
        <v>9109.7229766431283</v>
      </c>
      <c r="E20" s="53">
        <f t="shared" si="17"/>
        <v>11432.944957814383</v>
      </c>
      <c r="F20" s="53">
        <f t="shared" si="17"/>
        <v>8535.6552863436118</v>
      </c>
      <c r="G20" s="488">
        <f t="shared" ref="G20" si="18">G19/G18*1000</f>
        <v>9779.7303642095376</v>
      </c>
      <c r="H20" s="53">
        <f t="shared" si="17"/>
        <v>9659.5149253731342</v>
      </c>
      <c r="I20" s="53">
        <f t="shared" si="17"/>
        <v>10334.317343173432</v>
      </c>
      <c r="J20" s="54">
        <f t="shared" si="0"/>
        <v>7</v>
      </c>
      <c r="K20" s="53">
        <f>K19/K18*1000</f>
        <v>11414.784394250513</v>
      </c>
      <c r="L20" s="53">
        <f>L19/L18*1000</f>
        <v>7643.6137071651092</v>
      </c>
      <c r="M20" s="54">
        <f t="shared" si="1"/>
        <v>-33</v>
      </c>
      <c r="N20" s="53">
        <f>N19/N18*1000</f>
        <v>10495.112414467252</v>
      </c>
      <c r="O20" s="53">
        <f>O19/O18*1000</f>
        <v>8875.3378378378384</v>
      </c>
      <c r="P20" s="54">
        <f t="shared" si="2"/>
        <v>-15.4</v>
      </c>
      <c r="Q20" s="53">
        <f>Q19/Q18*1000</f>
        <v>8110.9589041095887</v>
      </c>
      <c r="R20" s="53">
        <f>R19/R18*1000</f>
        <v>10511.372549019608</v>
      </c>
      <c r="S20" s="54">
        <f t="shared" si="3"/>
        <v>29.6</v>
      </c>
      <c r="T20" s="53">
        <f>T19/T18*1000</f>
        <v>9502.281802624073</v>
      </c>
      <c r="U20" s="53">
        <f>U19/U18*1000</f>
        <v>9367.8866587957491</v>
      </c>
      <c r="V20" s="54">
        <f t="shared" si="4"/>
        <v>-1.4</v>
      </c>
      <c r="W20" s="53">
        <f>W19/W18*1000</f>
        <v>6398.1415296640462</v>
      </c>
      <c r="X20" s="53">
        <f>X19/X18*1000</f>
        <v>7508.1383519837236</v>
      </c>
      <c r="Y20" s="54">
        <f t="shared" si="5"/>
        <v>17.3</v>
      </c>
      <c r="Z20" s="53">
        <f>Z19/Z18*1000</f>
        <v>8616.9215086646291</v>
      </c>
      <c r="AA20" s="53">
        <f>AA19/AA18*1000</f>
        <v>8778.2615707144014</v>
      </c>
      <c r="AB20" s="54">
        <f t="shared" si="6"/>
        <v>1.9</v>
      </c>
      <c r="AC20" s="53">
        <f>AC19/AC18*1000</f>
        <v>9573.8095238095248</v>
      </c>
      <c r="AD20" s="53">
        <f>AD19/AD18*1000</f>
        <v>9899.4601889338719</v>
      </c>
      <c r="AE20" s="54">
        <f t="shared" si="7"/>
        <v>3.4</v>
      </c>
      <c r="AF20" s="53">
        <f>AF19/AF18*1000</f>
        <v>8812.4898621248994</v>
      </c>
      <c r="AG20" s="53">
        <f>AG19/AG18*1000</f>
        <v>8994.5333853963293</v>
      </c>
      <c r="AH20" s="54">
        <f t="shared" si="8"/>
        <v>2.1</v>
      </c>
    </row>
    <row r="21" spans="1:34" ht="22.5" customHeight="1">
      <c r="A21" s="730" t="s">
        <v>271</v>
      </c>
      <c r="B21" s="694" t="s">
        <v>569</v>
      </c>
      <c r="C21" s="74">
        <f>수출!E99</f>
        <v>2196</v>
      </c>
      <c r="D21" s="74">
        <f>수출!F99</f>
        <v>1907</v>
      </c>
      <c r="E21" s="74">
        <f>수출!G99</f>
        <v>2039</v>
      </c>
      <c r="F21" s="74">
        <f>수출!H99</f>
        <v>2084</v>
      </c>
      <c r="G21" s="489">
        <f>수출!I99</f>
        <v>1981</v>
      </c>
      <c r="H21" s="74">
        <f>수출!J99</f>
        <v>93</v>
      </c>
      <c r="I21" s="74">
        <f>수출!K99</f>
        <v>147</v>
      </c>
      <c r="J21" s="149">
        <f t="shared" si="0"/>
        <v>58.1</v>
      </c>
      <c r="K21" s="74">
        <f>N21-H21</f>
        <v>149</v>
      </c>
      <c r="L21" s="74">
        <f>O21-I21</f>
        <v>160</v>
      </c>
      <c r="M21" s="149">
        <f t="shared" si="1"/>
        <v>7.4</v>
      </c>
      <c r="N21" s="74">
        <f>수출!P99</f>
        <v>242</v>
      </c>
      <c r="O21" s="74">
        <f>수출!Q99</f>
        <v>307</v>
      </c>
      <c r="P21" s="149">
        <f t="shared" si="2"/>
        <v>26.9</v>
      </c>
      <c r="Q21" s="74">
        <f>T21-N21</f>
        <v>151</v>
      </c>
      <c r="R21" s="74">
        <f>U21-O21</f>
        <v>213</v>
      </c>
      <c r="S21" s="149">
        <f t="shared" si="3"/>
        <v>41.1</v>
      </c>
      <c r="T21" s="74">
        <f>수출!V99</f>
        <v>393</v>
      </c>
      <c r="U21" s="74">
        <f>수출!W99</f>
        <v>520</v>
      </c>
      <c r="V21" s="149">
        <f t="shared" si="4"/>
        <v>32.299999999999997</v>
      </c>
      <c r="W21" s="74">
        <f>Z21-T21</f>
        <v>206</v>
      </c>
      <c r="X21" s="74">
        <f>AA21-U21</f>
        <v>192</v>
      </c>
      <c r="Y21" s="149">
        <f t="shared" si="5"/>
        <v>-6.8</v>
      </c>
      <c r="Z21" s="74">
        <f>수출!AB99</f>
        <v>599</v>
      </c>
      <c r="AA21" s="74">
        <f>수출!AC99</f>
        <v>712</v>
      </c>
      <c r="AB21" s="149">
        <f t="shared" si="6"/>
        <v>18.899999999999999</v>
      </c>
      <c r="AC21" s="74">
        <f>AF21-Z21</f>
        <v>98</v>
      </c>
      <c r="AD21" s="74">
        <f>AG21-AA21</f>
        <v>172</v>
      </c>
      <c r="AE21" s="149">
        <f t="shared" si="7"/>
        <v>75.5</v>
      </c>
      <c r="AF21" s="74">
        <f>수출!AH99</f>
        <v>697</v>
      </c>
      <c r="AG21" s="74">
        <f>수출!AI99</f>
        <v>884</v>
      </c>
      <c r="AH21" s="149">
        <f t="shared" si="8"/>
        <v>26.8</v>
      </c>
    </row>
    <row r="22" spans="1:34" ht="22.5" customHeight="1">
      <c r="A22" s="730"/>
      <c r="B22" s="4" t="s">
        <v>31</v>
      </c>
      <c r="C22" s="133">
        <f>수출!E100</f>
        <v>45772</v>
      </c>
      <c r="D22" s="133">
        <f>수출!F100</f>
        <v>44828</v>
      </c>
      <c r="E22" s="133">
        <f>수출!G100</f>
        <v>49238</v>
      </c>
      <c r="F22" s="133">
        <f>수출!H100</f>
        <v>42847</v>
      </c>
      <c r="G22" s="490">
        <f>수출!I100</f>
        <v>48605</v>
      </c>
      <c r="H22" s="133">
        <f>수출!J100</f>
        <v>2685</v>
      </c>
      <c r="I22" s="133">
        <f>수출!K100</f>
        <v>4361</v>
      </c>
      <c r="J22" s="148">
        <f t="shared" si="0"/>
        <v>62.4</v>
      </c>
      <c r="K22" s="133">
        <f>N22-H22</f>
        <v>4461</v>
      </c>
      <c r="L22" s="133">
        <f>O22-I22</f>
        <v>4606</v>
      </c>
      <c r="M22" s="148">
        <f t="shared" si="1"/>
        <v>3.3</v>
      </c>
      <c r="N22" s="133">
        <f>수출!P100</f>
        <v>7146</v>
      </c>
      <c r="O22" s="133">
        <f>수출!Q100</f>
        <v>8967</v>
      </c>
      <c r="P22" s="148">
        <f t="shared" si="2"/>
        <v>25.5</v>
      </c>
      <c r="Q22" s="133">
        <f>T22-N22</f>
        <v>2845</v>
      </c>
      <c r="R22" s="133">
        <f>U22-O22</f>
        <v>5298</v>
      </c>
      <c r="S22" s="148">
        <f t="shared" si="3"/>
        <v>86.2</v>
      </c>
      <c r="T22" s="133">
        <f>수출!V100</f>
        <v>9991</v>
      </c>
      <c r="U22" s="133">
        <f>수출!W100</f>
        <v>14265</v>
      </c>
      <c r="V22" s="148">
        <f t="shared" si="4"/>
        <v>42.8</v>
      </c>
      <c r="W22" s="133">
        <f>Z22-T22</f>
        <v>4240</v>
      </c>
      <c r="X22" s="133">
        <f>AA22-U22</f>
        <v>6793</v>
      </c>
      <c r="Y22" s="148">
        <f t="shared" si="5"/>
        <v>60.2</v>
      </c>
      <c r="Z22" s="133">
        <f>수출!AB100</f>
        <v>14231</v>
      </c>
      <c r="AA22" s="133">
        <f>수출!AC100</f>
        <v>21058</v>
      </c>
      <c r="AB22" s="148">
        <f t="shared" si="6"/>
        <v>48</v>
      </c>
      <c r="AC22" s="133">
        <f>AF22-Z22</f>
        <v>2604</v>
      </c>
      <c r="AD22" s="133">
        <f>AG22-AA22</f>
        <v>4624</v>
      </c>
      <c r="AE22" s="148">
        <f t="shared" si="7"/>
        <v>77.599999999999994</v>
      </c>
      <c r="AF22" s="133">
        <f>수출!AH100</f>
        <v>16835</v>
      </c>
      <c r="AG22" s="133">
        <f>수출!AI100</f>
        <v>25682</v>
      </c>
      <c r="AH22" s="148">
        <f t="shared" si="8"/>
        <v>52.6</v>
      </c>
    </row>
    <row r="23" spans="1:34" ht="22.5" customHeight="1">
      <c r="A23" s="730"/>
      <c r="B23" s="8" t="s">
        <v>266</v>
      </c>
      <c r="C23" s="53">
        <f t="shared" ref="C23:I23" si="19">C22/C21*1000</f>
        <v>20843.35154826958</v>
      </c>
      <c r="D23" s="53">
        <f t="shared" si="19"/>
        <v>23507.079181961195</v>
      </c>
      <c r="E23" s="53">
        <f t="shared" si="19"/>
        <v>24148.11181951937</v>
      </c>
      <c r="F23" s="53">
        <f t="shared" si="19"/>
        <v>20559.980806142037</v>
      </c>
      <c r="G23" s="488">
        <f t="shared" ref="G23" si="20">G22/G21*1000</f>
        <v>24535.588086824839</v>
      </c>
      <c r="H23" s="53">
        <f t="shared" si="19"/>
        <v>28870.967741935485</v>
      </c>
      <c r="I23" s="53">
        <f t="shared" si="19"/>
        <v>29666.666666666668</v>
      </c>
      <c r="J23" s="54">
        <f t="shared" si="0"/>
        <v>2.8</v>
      </c>
      <c r="K23" s="53">
        <f>K22/K21*1000</f>
        <v>29939.59731543624</v>
      </c>
      <c r="L23" s="53">
        <f>L22/L21*1000</f>
        <v>28787.5</v>
      </c>
      <c r="M23" s="54">
        <f t="shared" si="1"/>
        <v>-3.8</v>
      </c>
      <c r="N23" s="53">
        <f>N22/N21*1000</f>
        <v>29528.92561983471</v>
      </c>
      <c r="O23" s="53">
        <f>O22/O21*1000</f>
        <v>29208.469055374593</v>
      </c>
      <c r="P23" s="54">
        <f t="shared" si="2"/>
        <v>-1.1000000000000001</v>
      </c>
      <c r="Q23" s="53">
        <f>Q22/Q21*1000</f>
        <v>18841.059602649009</v>
      </c>
      <c r="R23" s="53">
        <f>R22/R21*1000</f>
        <v>24873.239436619719</v>
      </c>
      <c r="S23" s="54">
        <f t="shared" si="3"/>
        <v>32</v>
      </c>
      <c r="T23" s="53">
        <f>T22/T21*1000</f>
        <v>25422.391857506362</v>
      </c>
      <c r="U23" s="53">
        <f>U22/U21*1000</f>
        <v>27432.692307692305</v>
      </c>
      <c r="V23" s="54">
        <f t="shared" si="4"/>
        <v>7.9</v>
      </c>
      <c r="W23" s="53">
        <f>W22/W21*1000</f>
        <v>20582.524271844661</v>
      </c>
      <c r="X23" s="53">
        <f>X22/X21*1000</f>
        <v>35380.208333333336</v>
      </c>
      <c r="Y23" s="54">
        <f t="shared" si="5"/>
        <v>71.900000000000006</v>
      </c>
      <c r="Z23" s="53">
        <f>Z22/Z21*1000</f>
        <v>23757.929883138564</v>
      </c>
      <c r="AA23" s="53">
        <f>AA22/AA21*1000</f>
        <v>29575.842696629214</v>
      </c>
      <c r="AB23" s="54">
        <f t="shared" si="6"/>
        <v>24.5</v>
      </c>
      <c r="AC23" s="53">
        <f>AC22/AC21*1000</f>
        <v>26571.428571428572</v>
      </c>
      <c r="AD23" s="53">
        <f>AD22/AD21*1000</f>
        <v>26883.720930232561</v>
      </c>
      <c r="AE23" s="54">
        <f t="shared" si="7"/>
        <v>1.2</v>
      </c>
      <c r="AF23" s="53">
        <f>AF22/AF21*1000</f>
        <v>24153.515064562409</v>
      </c>
      <c r="AG23" s="53">
        <f>AG22/AG21*1000</f>
        <v>29052.036199095026</v>
      </c>
      <c r="AH23" s="54">
        <f t="shared" si="8"/>
        <v>20.3</v>
      </c>
    </row>
    <row r="24" spans="1:34" ht="22.5" customHeight="1">
      <c r="A24" s="730" t="s">
        <v>18</v>
      </c>
      <c r="B24" s="694" t="s">
        <v>569</v>
      </c>
      <c r="C24" s="74">
        <f>수출!E102</f>
        <v>96278</v>
      </c>
      <c r="D24" s="74">
        <f>수출!F102</f>
        <v>40395</v>
      </c>
      <c r="E24" s="74">
        <f>수출!G102</f>
        <v>47078</v>
      </c>
      <c r="F24" s="74">
        <f>수출!H102</f>
        <v>82485</v>
      </c>
      <c r="G24" s="489">
        <f>수출!I102</f>
        <v>22915</v>
      </c>
      <c r="H24" s="74">
        <f>수출!J102</f>
        <v>1484</v>
      </c>
      <c r="I24" s="74">
        <f>수출!K102</f>
        <v>960</v>
      </c>
      <c r="J24" s="149">
        <f t="shared" si="0"/>
        <v>-35.299999999999997</v>
      </c>
      <c r="K24" s="74">
        <f>N24-H24</f>
        <v>1660</v>
      </c>
      <c r="L24" s="74">
        <f>O24-I24</f>
        <v>1377</v>
      </c>
      <c r="M24" s="149">
        <f t="shared" si="1"/>
        <v>-17</v>
      </c>
      <c r="N24" s="74">
        <f>수출!P102</f>
        <v>3144</v>
      </c>
      <c r="O24" s="74">
        <f>수출!Q102</f>
        <v>2337</v>
      </c>
      <c r="P24" s="149">
        <f t="shared" si="2"/>
        <v>-25.7</v>
      </c>
      <c r="Q24" s="74">
        <f>T24-N24</f>
        <v>2326</v>
      </c>
      <c r="R24" s="74">
        <f>U24-O24</f>
        <v>1513</v>
      </c>
      <c r="S24" s="149">
        <f t="shared" si="3"/>
        <v>-35</v>
      </c>
      <c r="T24" s="74">
        <f>수출!V102</f>
        <v>5470</v>
      </c>
      <c r="U24" s="74">
        <f>수출!W102</f>
        <v>3850</v>
      </c>
      <c r="V24" s="149">
        <f t="shared" si="4"/>
        <v>-29.6</v>
      </c>
      <c r="W24" s="74">
        <f>Z24-T24</f>
        <v>3254</v>
      </c>
      <c r="X24" s="74">
        <f>AA24-U24</f>
        <v>1613</v>
      </c>
      <c r="Y24" s="149">
        <f t="shared" si="5"/>
        <v>-50.4</v>
      </c>
      <c r="Z24" s="74">
        <f>수출!AB102</f>
        <v>8724</v>
      </c>
      <c r="AA24" s="74">
        <f>수출!AC102</f>
        <v>5463</v>
      </c>
      <c r="AB24" s="149">
        <f t="shared" si="6"/>
        <v>-37.4</v>
      </c>
      <c r="AC24" s="74">
        <f>AF24-Z24</f>
        <v>1464</v>
      </c>
      <c r="AD24" s="74">
        <f>AG24-AA24</f>
        <v>1377</v>
      </c>
      <c r="AE24" s="149">
        <f t="shared" si="7"/>
        <v>-5.9</v>
      </c>
      <c r="AF24" s="74">
        <f>수출!AH102</f>
        <v>10188</v>
      </c>
      <c r="AG24" s="74">
        <f>수출!AI102</f>
        <v>6840</v>
      </c>
      <c r="AH24" s="149">
        <f t="shared" si="8"/>
        <v>-32.9</v>
      </c>
    </row>
    <row r="25" spans="1:34" ht="22.5" customHeight="1">
      <c r="A25" s="730"/>
      <c r="B25" s="4" t="s">
        <v>31</v>
      </c>
      <c r="C25" s="133">
        <f>수출!E103</f>
        <v>275446</v>
      </c>
      <c r="D25" s="133">
        <f>수출!F103</f>
        <v>317314</v>
      </c>
      <c r="E25" s="133">
        <f>수출!G103</f>
        <v>366602</v>
      </c>
      <c r="F25" s="133">
        <f>수출!H103</f>
        <v>272204</v>
      </c>
      <c r="G25" s="490">
        <f>수출!I103</f>
        <v>232849</v>
      </c>
      <c r="H25" s="133">
        <f>수출!J103</f>
        <v>19506</v>
      </c>
      <c r="I25" s="133">
        <f>수출!K103</f>
        <v>19370</v>
      </c>
      <c r="J25" s="148">
        <f t="shared" si="0"/>
        <v>-0.7</v>
      </c>
      <c r="K25" s="133">
        <f>N25-H25</f>
        <v>19772</v>
      </c>
      <c r="L25" s="133">
        <f>O25-I25</f>
        <v>16207</v>
      </c>
      <c r="M25" s="148">
        <f t="shared" si="1"/>
        <v>-18</v>
      </c>
      <c r="N25" s="133">
        <f>수출!P103</f>
        <v>39278</v>
      </c>
      <c r="O25" s="133">
        <f>수출!Q103</f>
        <v>35577</v>
      </c>
      <c r="P25" s="148">
        <f t="shared" si="2"/>
        <v>-9.4</v>
      </c>
      <c r="Q25" s="133">
        <f>T25-N25</f>
        <v>21654</v>
      </c>
      <c r="R25" s="133">
        <f>U25-O25</f>
        <v>24607</v>
      </c>
      <c r="S25" s="148">
        <f t="shared" si="3"/>
        <v>13.6</v>
      </c>
      <c r="T25" s="133">
        <f>수출!V103</f>
        <v>60932</v>
      </c>
      <c r="U25" s="133">
        <f>수출!W103</f>
        <v>60184</v>
      </c>
      <c r="V25" s="148">
        <f t="shared" si="4"/>
        <v>-1.2</v>
      </c>
      <c r="W25" s="133">
        <f>Z25-T25</f>
        <v>22589</v>
      </c>
      <c r="X25" s="133">
        <f>AA25-U25</f>
        <v>22158</v>
      </c>
      <c r="Y25" s="148">
        <f t="shared" si="5"/>
        <v>-1.9</v>
      </c>
      <c r="Z25" s="133">
        <f>수출!AB103</f>
        <v>83521</v>
      </c>
      <c r="AA25" s="133">
        <f>수출!AC103</f>
        <v>82342</v>
      </c>
      <c r="AB25" s="148">
        <f t="shared" si="6"/>
        <v>-1.4</v>
      </c>
      <c r="AC25" s="133">
        <f>AF25-Z25</f>
        <v>15871</v>
      </c>
      <c r="AD25" s="133">
        <f>AG25-AA25</f>
        <v>24307</v>
      </c>
      <c r="AE25" s="148">
        <f t="shared" si="7"/>
        <v>53.2</v>
      </c>
      <c r="AF25" s="133">
        <f>수출!AH103</f>
        <v>99392</v>
      </c>
      <c r="AG25" s="133">
        <f>수출!AI103</f>
        <v>106649</v>
      </c>
      <c r="AH25" s="148">
        <f t="shared" si="8"/>
        <v>7.3</v>
      </c>
    </row>
    <row r="26" spans="1:34" ht="22.5" customHeight="1" thickBot="1">
      <c r="A26" s="737"/>
      <c r="B26" s="3" t="s">
        <v>266</v>
      </c>
      <c r="C26" s="53">
        <f t="shared" ref="C26:I26" si="21">C25/C24*1000</f>
        <v>2860.944348657014</v>
      </c>
      <c r="D26" s="53">
        <f t="shared" si="21"/>
        <v>7855.2791187028097</v>
      </c>
      <c r="E26" s="53">
        <f t="shared" si="21"/>
        <v>7787.1192489060704</v>
      </c>
      <c r="F26" s="53">
        <f t="shared" si="21"/>
        <v>3300.0424319573253</v>
      </c>
      <c r="G26" s="488">
        <f t="shared" ref="G26" si="22">G25/G24*1000</f>
        <v>10161.422648919923</v>
      </c>
      <c r="H26" s="53">
        <f t="shared" si="21"/>
        <v>13144.204851752022</v>
      </c>
      <c r="I26" s="53">
        <f t="shared" si="21"/>
        <v>20177.083333333332</v>
      </c>
      <c r="J26" s="49">
        <f t="shared" si="0"/>
        <v>53.5</v>
      </c>
      <c r="K26" s="53">
        <f>K25/K24*1000</f>
        <v>11910.843373493975</v>
      </c>
      <c r="L26" s="53">
        <f>L25/L24*1000</f>
        <v>11769.789397240376</v>
      </c>
      <c r="M26" s="49">
        <f t="shared" si="1"/>
        <v>-1.2</v>
      </c>
      <c r="N26" s="53">
        <f>N25/N24*1000</f>
        <v>12493.002544529261</v>
      </c>
      <c r="O26" s="53">
        <f>O25/O24*1000</f>
        <v>15223.363286264443</v>
      </c>
      <c r="P26" s="49">
        <f t="shared" si="2"/>
        <v>21.9</v>
      </c>
      <c r="Q26" s="53">
        <f>Q25/Q24*1000</f>
        <v>9309.5442820292337</v>
      </c>
      <c r="R26" s="53">
        <f>R25/R24*1000</f>
        <v>16263.714474553864</v>
      </c>
      <c r="S26" s="49">
        <f t="shared" si="3"/>
        <v>74.7</v>
      </c>
      <c r="T26" s="53">
        <f>T25/T24*1000</f>
        <v>11139.305301645338</v>
      </c>
      <c r="U26" s="53">
        <f>U25/U24*1000</f>
        <v>15632.207792207791</v>
      </c>
      <c r="V26" s="49">
        <f t="shared" si="4"/>
        <v>40.299999999999997</v>
      </c>
      <c r="W26" s="53">
        <f>W25/W24*1000</f>
        <v>6941.9176398279042</v>
      </c>
      <c r="X26" s="53">
        <f>X25/X24*1000</f>
        <v>13737.135771853689</v>
      </c>
      <c r="Y26" s="49">
        <f t="shared" si="5"/>
        <v>97.9</v>
      </c>
      <c r="Z26" s="53">
        <f>Z25/Z24*1000</f>
        <v>9573.7047226043105</v>
      </c>
      <c r="AA26" s="53">
        <f>AA25/AA24*1000</f>
        <v>15072.670693758007</v>
      </c>
      <c r="AB26" s="49">
        <f t="shared" si="6"/>
        <v>57.4</v>
      </c>
      <c r="AC26" s="53">
        <f>AC25/AC24*1000</f>
        <v>10840.846994535519</v>
      </c>
      <c r="AD26" s="53">
        <f>AD25/AD24*1000</f>
        <v>17652.142338416848</v>
      </c>
      <c r="AE26" s="49">
        <f t="shared" si="7"/>
        <v>62.8</v>
      </c>
      <c r="AF26" s="53">
        <f>AF25/AF24*1000</f>
        <v>9755.7911268158605</v>
      </c>
      <c r="AG26" s="53">
        <f>AG25/AG24*1000</f>
        <v>15591.959064327484</v>
      </c>
      <c r="AH26" s="49">
        <f t="shared" si="8"/>
        <v>59.8</v>
      </c>
    </row>
    <row r="27" spans="1:34" ht="22.5" customHeight="1" thickTop="1">
      <c r="A27" s="738" t="s">
        <v>101</v>
      </c>
      <c r="B27" s="692" t="s">
        <v>569</v>
      </c>
      <c r="C27" s="135">
        <f t="shared" ref="C27:E28" si="23">SUM(C6+C9+C12+C15+C18+C21+C24)</f>
        <v>2581770</v>
      </c>
      <c r="D27" s="135">
        <f t="shared" si="23"/>
        <v>2533611</v>
      </c>
      <c r="E27" s="135">
        <f t="shared" si="23"/>
        <v>2744989</v>
      </c>
      <c r="F27" s="135">
        <f t="shared" ref="F27:I28" si="24">SUM(F6+F9+F12+F15+F18+F21+F24)</f>
        <v>2805302</v>
      </c>
      <c r="G27" s="492">
        <f>SUM(G6+G9+G12+G15+G18+G21+G24)</f>
        <v>2925245</v>
      </c>
      <c r="H27" s="136">
        <f t="shared" si="24"/>
        <v>232394</v>
      </c>
      <c r="I27" s="136">
        <f t="shared" si="24"/>
        <v>222112</v>
      </c>
      <c r="J27" s="150">
        <f t="shared" si="0"/>
        <v>-4.4000000000000004</v>
      </c>
      <c r="K27" s="136">
        <f>N27-H27</f>
        <v>224012</v>
      </c>
      <c r="L27" s="136">
        <f>O27-I27</f>
        <v>228464</v>
      </c>
      <c r="M27" s="150">
        <f t="shared" si="1"/>
        <v>2</v>
      </c>
      <c r="N27" s="136">
        <f>SUM(N6+N9+N12+N15+N18+N21+N24)</f>
        <v>456406</v>
      </c>
      <c r="O27" s="136">
        <f>SUM(O6+O9+O12+O15+O18+O21+O24)</f>
        <v>450576</v>
      </c>
      <c r="P27" s="150">
        <f t="shared" si="2"/>
        <v>-1.3</v>
      </c>
      <c r="Q27" s="136">
        <f>T27-N27</f>
        <v>256842</v>
      </c>
      <c r="R27" s="136">
        <f>U27-O27</f>
        <v>267213</v>
      </c>
      <c r="S27" s="150">
        <f t="shared" si="3"/>
        <v>4</v>
      </c>
      <c r="T27" s="136">
        <f>SUM(T6+T9+T12+T15+T18+T21+T24)</f>
        <v>713248</v>
      </c>
      <c r="U27" s="136">
        <f>SUM(U6+U9+U12+U15+U18+U21+U24)</f>
        <v>717789</v>
      </c>
      <c r="V27" s="150">
        <f t="shared" si="4"/>
        <v>0.6</v>
      </c>
      <c r="W27" s="136">
        <f>Z27-T27</f>
        <v>230147</v>
      </c>
      <c r="X27" s="136">
        <f>AA27-U27</f>
        <v>277615</v>
      </c>
      <c r="Y27" s="150">
        <f t="shared" si="5"/>
        <v>20.6</v>
      </c>
      <c r="Z27" s="136">
        <f>SUM(Z6+Z9+Z12+Z15+Z18+Z21+Z24)</f>
        <v>943395</v>
      </c>
      <c r="AA27" s="136">
        <f>SUM(AA6+AA9+AA12+AA15+AA18+AA21+AA24)</f>
        <v>995404</v>
      </c>
      <c r="AB27" s="150">
        <f t="shared" si="6"/>
        <v>5.5</v>
      </c>
      <c r="AC27" s="136">
        <f>AF27-Z27</f>
        <v>210909</v>
      </c>
      <c r="AD27" s="136">
        <f>AG27-AA27</f>
        <v>268744</v>
      </c>
      <c r="AE27" s="150">
        <f t="shared" si="7"/>
        <v>27.4</v>
      </c>
      <c r="AF27" s="136">
        <f>SUM(AF6+AF9+AF12+AF15+AF18+AF21+AF24)</f>
        <v>1154304</v>
      </c>
      <c r="AG27" s="136">
        <f>SUM(AG6+AG9+AG12+AG15+AG18+AG21+AG24)</f>
        <v>1264148</v>
      </c>
      <c r="AH27" s="150">
        <f t="shared" si="8"/>
        <v>9.5</v>
      </c>
    </row>
    <row r="28" spans="1:34" ht="22.5" customHeight="1">
      <c r="A28" s="739"/>
      <c r="B28" s="14" t="s">
        <v>31</v>
      </c>
      <c r="C28" s="137">
        <f t="shared" si="23"/>
        <v>8846556</v>
      </c>
      <c r="D28" s="137">
        <f t="shared" si="23"/>
        <v>10467205</v>
      </c>
      <c r="E28" s="137">
        <f t="shared" si="23"/>
        <v>11873008</v>
      </c>
      <c r="F28" s="137">
        <f t="shared" si="24"/>
        <v>10975658</v>
      </c>
      <c r="G28" s="493">
        <f>SUM(G7+G10+G13+G16+G19+G22+G25)</f>
        <v>11019352</v>
      </c>
      <c r="H28" s="138">
        <f t="shared" si="24"/>
        <v>864557</v>
      </c>
      <c r="I28" s="138">
        <f t="shared" si="24"/>
        <v>1026145</v>
      </c>
      <c r="J28" s="151">
        <f t="shared" si="0"/>
        <v>18.7</v>
      </c>
      <c r="K28" s="138">
        <f>N28-H28</f>
        <v>843633</v>
      </c>
      <c r="L28" s="138">
        <f>O28-I28</f>
        <v>1039800</v>
      </c>
      <c r="M28" s="151">
        <f t="shared" si="1"/>
        <v>23.3</v>
      </c>
      <c r="N28" s="138">
        <f>SUM(N7+N10+N13+N16+N19+N22+N25)</f>
        <v>1708190</v>
      </c>
      <c r="O28" s="138">
        <f>SUM(O7+O10+O13+O16+O19+O22+O25)</f>
        <v>2065945</v>
      </c>
      <c r="P28" s="151">
        <f t="shared" si="2"/>
        <v>20.9</v>
      </c>
      <c r="Q28" s="138">
        <f>T28-N28</f>
        <v>918931</v>
      </c>
      <c r="R28" s="138">
        <f>U28-O28</f>
        <v>1229788</v>
      </c>
      <c r="S28" s="151">
        <f t="shared" si="3"/>
        <v>33.799999999999997</v>
      </c>
      <c r="T28" s="138">
        <f>SUM(T7+T10+T13+T16+T19+T22+T25)</f>
        <v>2627121</v>
      </c>
      <c r="U28" s="138">
        <f>SUM(U7+U10+U13+U16+U19+U22+U25)</f>
        <v>3295733</v>
      </c>
      <c r="V28" s="151">
        <f t="shared" si="4"/>
        <v>25.5</v>
      </c>
      <c r="W28" s="138">
        <f>Z28-T28</f>
        <v>805176</v>
      </c>
      <c r="X28" s="138">
        <f>AA28-U28</f>
        <v>1286974</v>
      </c>
      <c r="Y28" s="151">
        <f t="shared" si="5"/>
        <v>59.8</v>
      </c>
      <c r="Z28" s="138">
        <f>SUM(Z7+Z10+Z13+Z16+Z19+Z22+Z25)</f>
        <v>3432297</v>
      </c>
      <c r="AA28" s="138">
        <f>SUM(AA7+AA10+AA13+AA16+AA19+AA22+AA25)</f>
        <v>4582707</v>
      </c>
      <c r="AB28" s="151">
        <f t="shared" si="6"/>
        <v>33.5</v>
      </c>
      <c r="AC28" s="138">
        <f>AF28-Z28</f>
        <v>715593</v>
      </c>
      <c r="AD28" s="138">
        <f>AG28-AA28</f>
        <v>1367860</v>
      </c>
      <c r="AE28" s="151">
        <f t="shared" si="7"/>
        <v>91.2</v>
      </c>
      <c r="AF28" s="138">
        <f>SUM(AF7+AF10+AF13+AF16+AF19+AF22+AF25)</f>
        <v>4147890</v>
      </c>
      <c r="AG28" s="138">
        <f>SUM(AG7+AG10+AG13+AG16+AG19+AG22+AG25)</f>
        <v>5950567</v>
      </c>
      <c r="AH28" s="151">
        <f t="shared" si="8"/>
        <v>43.5</v>
      </c>
    </row>
    <row r="29" spans="1:34" ht="22.5" customHeight="1">
      <c r="A29" s="739"/>
      <c r="B29" s="16" t="s">
        <v>266</v>
      </c>
      <c r="C29" s="409">
        <f t="shared" ref="C29:D29" si="25">C28/C27*1000</f>
        <v>3426.5469038682763</v>
      </c>
      <c r="D29" s="139">
        <f t="shared" si="25"/>
        <v>4131.3386309105854</v>
      </c>
      <c r="E29" s="139">
        <f>E28/E27*1000</f>
        <v>4325.3390086444797</v>
      </c>
      <c r="F29" s="139">
        <f>F28/F27*1000</f>
        <v>3912.4693170289688</v>
      </c>
      <c r="G29" s="494">
        <f>G28/G27*1000</f>
        <v>3766.9843038788204</v>
      </c>
      <c r="H29" s="139">
        <f>H28/H27*1000</f>
        <v>3720.2208318631288</v>
      </c>
      <c r="I29" s="139">
        <f>I28/I27*1000</f>
        <v>4619.9439922201409</v>
      </c>
      <c r="J29" s="152">
        <f t="shared" si="0"/>
        <v>24.2</v>
      </c>
      <c r="K29" s="139">
        <f>K28/K27*1000</f>
        <v>3766.0169990893346</v>
      </c>
      <c r="L29" s="139">
        <f>L28/L27*1000</f>
        <v>4551.2640941242389</v>
      </c>
      <c r="M29" s="152">
        <f t="shared" si="1"/>
        <v>20.9</v>
      </c>
      <c r="N29" s="139">
        <f>N28/N27*1000</f>
        <v>3742.6983869624851</v>
      </c>
      <c r="O29" s="139">
        <f>O28/O27*1000</f>
        <v>4585.1199353716138</v>
      </c>
      <c r="P29" s="152">
        <f t="shared" si="2"/>
        <v>22.5</v>
      </c>
      <c r="Q29" s="139">
        <f>Q28/Q27*1000</f>
        <v>3577.8065892649956</v>
      </c>
      <c r="R29" s="139">
        <f>R28/R27*1000</f>
        <v>4602.2760868670312</v>
      </c>
      <c r="S29" s="152">
        <f t="shared" si="3"/>
        <v>28.6</v>
      </c>
      <c r="T29" s="139">
        <f>T28/T27*1000</f>
        <v>3683.3205280631701</v>
      </c>
      <c r="U29" s="139">
        <f>U28/U27*1000</f>
        <v>4591.5066962575347</v>
      </c>
      <c r="V29" s="152">
        <f t="shared" si="4"/>
        <v>24.7</v>
      </c>
      <c r="W29" s="139">
        <f>W28/W27*1000</f>
        <v>3498.5292009020322</v>
      </c>
      <c r="X29" s="139">
        <f>X28/X27*1000</f>
        <v>4635.8229922734727</v>
      </c>
      <c r="Y29" s="152">
        <f t="shared" si="5"/>
        <v>32.5</v>
      </c>
      <c r="Z29" s="139">
        <f>Z28/Z27*1000</f>
        <v>3638.2395497114148</v>
      </c>
      <c r="AA29" s="139">
        <f>AA28/AA27*1000</f>
        <v>4603.8663698357659</v>
      </c>
      <c r="AB29" s="152">
        <f t="shared" si="6"/>
        <v>26.5</v>
      </c>
      <c r="AC29" s="139">
        <f>AC28/AC27*1000</f>
        <v>3392.899307284184</v>
      </c>
      <c r="AD29" s="139">
        <f>AD28/AD27*1000</f>
        <v>5089.8252612151346</v>
      </c>
      <c r="AE29" s="152">
        <f t="shared" si="7"/>
        <v>50</v>
      </c>
      <c r="AF29" s="139">
        <f>AF28/AF27*1000</f>
        <v>3593.4121340652027</v>
      </c>
      <c r="AG29" s="139">
        <f>AG28/AG27*1000</f>
        <v>4707.1759002901554</v>
      </c>
      <c r="AH29" s="152">
        <f t="shared" si="8"/>
        <v>31</v>
      </c>
    </row>
    <row r="30" spans="1:34">
      <c r="A30" s="140"/>
      <c r="B30" s="140"/>
      <c r="C30" s="140"/>
      <c r="D30" s="140"/>
      <c r="E30" s="140"/>
      <c r="F30" s="140"/>
      <c r="G30" s="495"/>
      <c r="H30" s="140"/>
      <c r="I30" s="140"/>
      <c r="J30" s="153"/>
      <c r="K30" s="140"/>
      <c r="L30" s="140"/>
      <c r="M30" s="153"/>
      <c r="N30" s="140"/>
      <c r="O30" s="140"/>
      <c r="P30" s="153"/>
      <c r="Q30" s="140"/>
      <c r="R30" s="140"/>
      <c r="S30" s="153"/>
      <c r="T30" s="140"/>
      <c r="U30" s="140"/>
      <c r="V30" s="153"/>
      <c r="W30" s="140"/>
      <c r="X30" s="140"/>
      <c r="Y30" s="153"/>
      <c r="Z30" s="140"/>
      <c r="AA30" s="140"/>
      <c r="AB30" s="153"/>
      <c r="AC30" s="140"/>
      <c r="AD30" s="140"/>
      <c r="AE30" s="153"/>
      <c r="AF30" s="140"/>
      <c r="AG30" s="140"/>
      <c r="AH30" s="153"/>
    </row>
    <row r="31" spans="1:34" ht="22.5">
      <c r="A31" s="736" t="s">
        <v>605</v>
      </c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</row>
    <row r="33" spans="1:34">
      <c r="A33" s="2"/>
      <c r="B33" s="2"/>
      <c r="C33" s="2"/>
      <c r="D33" s="2"/>
      <c r="E33" s="278"/>
      <c r="F33" s="278"/>
      <c r="G33" s="502"/>
      <c r="H33" s="2"/>
      <c r="I33" s="447"/>
      <c r="J33" s="426" t="s">
        <v>0</v>
      </c>
      <c r="K33" s="278"/>
      <c r="L33" s="447"/>
      <c r="M33" s="447"/>
      <c r="N33" s="278"/>
      <c r="O33" s="447"/>
      <c r="P33" s="426" t="s">
        <v>0</v>
      </c>
      <c r="Q33" s="278"/>
      <c r="R33" s="447"/>
      <c r="S33" s="447"/>
      <c r="T33" s="278"/>
      <c r="U33" s="447"/>
      <c r="V33" s="451" t="s">
        <v>0</v>
      </c>
      <c r="W33" s="278"/>
      <c r="X33" s="447"/>
      <c r="Y33" s="447"/>
      <c r="Z33" s="278"/>
      <c r="AA33" s="447"/>
      <c r="AB33" s="457" t="s">
        <v>0</v>
      </c>
      <c r="AC33" s="278"/>
      <c r="AD33" s="447"/>
      <c r="AE33" s="447"/>
      <c r="AF33" s="278"/>
      <c r="AG33" s="447"/>
      <c r="AH33" s="472" t="s">
        <v>0</v>
      </c>
    </row>
    <row r="34" spans="1:34" ht="24" customHeight="1">
      <c r="A34" s="733" t="s">
        <v>264</v>
      </c>
      <c r="B34" s="733"/>
      <c r="C34" s="733" t="s">
        <v>2</v>
      </c>
      <c r="D34" s="733" t="s">
        <v>3</v>
      </c>
      <c r="E34" s="733" t="s">
        <v>76</v>
      </c>
      <c r="F34" s="733" t="s">
        <v>294</v>
      </c>
      <c r="G34" s="733" t="s">
        <v>431</v>
      </c>
      <c r="H34" s="733" t="s">
        <v>460</v>
      </c>
      <c r="I34" s="733"/>
      <c r="J34" s="733"/>
      <c r="K34" s="731" t="s">
        <v>461</v>
      </c>
      <c r="L34" s="731"/>
      <c r="M34" s="731"/>
      <c r="N34" s="731" t="s">
        <v>462</v>
      </c>
      <c r="O34" s="731"/>
      <c r="P34" s="731"/>
      <c r="Q34" s="731" t="s">
        <v>477</v>
      </c>
      <c r="R34" s="731"/>
      <c r="S34" s="731"/>
      <c r="T34" s="731" t="s">
        <v>478</v>
      </c>
      <c r="U34" s="731"/>
      <c r="V34" s="731"/>
      <c r="W34" s="731" t="s">
        <v>485</v>
      </c>
      <c r="X34" s="731"/>
      <c r="Y34" s="731"/>
      <c r="Z34" s="731" t="s">
        <v>487</v>
      </c>
      <c r="AA34" s="731"/>
      <c r="AB34" s="731"/>
      <c r="AC34" s="731" t="s">
        <v>492</v>
      </c>
      <c r="AD34" s="731"/>
      <c r="AE34" s="731"/>
      <c r="AF34" s="731" t="s">
        <v>493</v>
      </c>
      <c r="AG34" s="731"/>
      <c r="AH34" s="731"/>
    </row>
    <row r="35" spans="1:34" ht="24" customHeight="1" thickBot="1">
      <c r="A35" s="734"/>
      <c r="B35" s="734"/>
      <c r="C35" s="734"/>
      <c r="D35" s="734"/>
      <c r="E35" s="734"/>
      <c r="F35" s="734"/>
      <c r="G35" s="734"/>
      <c r="H35" s="674" t="s">
        <v>431</v>
      </c>
      <c r="I35" s="674" t="s">
        <v>503</v>
      </c>
      <c r="J35" s="499" t="s">
        <v>5</v>
      </c>
      <c r="K35" s="674" t="s">
        <v>431</v>
      </c>
      <c r="L35" s="674" t="s">
        <v>503</v>
      </c>
      <c r="M35" s="499" t="s">
        <v>5</v>
      </c>
      <c r="N35" s="674" t="s">
        <v>431</v>
      </c>
      <c r="O35" s="674" t="s">
        <v>503</v>
      </c>
      <c r="P35" s="499" t="s">
        <v>5</v>
      </c>
      <c r="Q35" s="674" t="s">
        <v>431</v>
      </c>
      <c r="R35" s="674" t="s">
        <v>503</v>
      </c>
      <c r="S35" s="499" t="s">
        <v>5</v>
      </c>
      <c r="T35" s="674" t="s">
        <v>431</v>
      </c>
      <c r="U35" s="674" t="s">
        <v>503</v>
      </c>
      <c r="V35" s="499" t="s">
        <v>5</v>
      </c>
      <c r="W35" s="674" t="s">
        <v>431</v>
      </c>
      <c r="X35" s="674" t="s">
        <v>503</v>
      </c>
      <c r="Y35" s="499" t="s">
        <v>5</v>
      </c>
      <c r="Z35" s="674" t="s">
        <v>431</v>
      </c>
      <c r="AA35" s="674" t="s">
        <v>503</v>
      </c>
      <c r="AB35" s="499" t="s">
        <v>5</v>
      </c>
      <c r="AC35" s="674" t="s">
        <v>431</v>
      </c>
      <c r="AD35" s="674" t="s">
        <v>503</v>
      </c>
      <c r="AE35" s="499" t="s">
        <v>5</v>
      </c>
      <c r="AF35" s="674" t="s">
        <v>431</v>
      </c>
      <c r="AG35" s="674" t="s">
        <v>503</v>
      </c>
      <c r="AH35" s="499" t="s">
        <v>5</v>
      </c>
    </row>
    <row r="36" spans="1:34" ht="22.5" customHeight="1">
      <c r="A36" s="743" t="s">
        <v>265</v>
      </c>
      <c r="B36" s="693" t="s">
        <v>569</v>
      </c>
      <c r="C36" s="48">
        <f>수입!E33</f>
        <v>986611</v>
      </c>
      <c r="D36" s="48">
        <f>수입!F33</f>
        <v>908736</v>
      </c>
      <c r="E36" s="48">
        <f>수입!G33</f>
        <v>855547</v>
      </c>
      <c r="F36" s="48">
        <f>수입!H33</f>
        <v>851617</v>
      </c>
      <c r="G36" s="487">
        <f>수입!I33</f>
        <v>815763</v>
      </c>
      <c r="H36" s="48">
        <f>수입!J33</f>
        <v>73215</v>
      </c>
      <c r="I36" s="48">
        <f>수입!K33</f>
        <v>77753</v>
      </c>
      <c r="J36" s="154">
        <f>ROUND(((I36/H36-1)*100),1)</f>
        <v>6.2</v>
      </c>
      <c r="K36" s="145">
        <f>N36-H36</f>
        <v>67315</v>
      </c>
      <c r="L36" s="145">
        <f>O36-I36</f>
        <v>74572</v>
      </c>
      <c r="M36" s="154">
        <f>ROUND(((L36/K36-1)*100),1)</f>
        <v>10.8</v>
      </c>
      <c r="N36" s="48">
        <f>수입!P33</f>
        <v>140530</v>
      </c>
      <c r="O36" s="48">
        <f>수입!Q33</f>
        <v>152325</v>
      </c>
      <c r="P36" s="154">
        <f>ROUND(((O36/N36-1)*100),1)</f>
        <v>8.4</v>
      </c>
      <c r="Q36" s="145">
        <f>T36-N36</f>
        <v>82766</v>
      </c>
      <c r="R36" s="145">
        <f>U36-O36</f>
        <v>86233</v>
      </c>
      <c r="S36" s="154">
        <f>ROUND(((R36/Q36-1)*100),1)</f>
        <v>4.2</v>
      </c>
      <c r="T36" s="48">
        <f>수입!V33</f>
        <v>223296</v>
      </c>
      <c r="U36" s="48">
        <f>수입!W33</f>
        <v>238558</v>
      </c>
      <c r="V36" s="154">
        <f>ROUND(((U36/T36-1)*100),1)</f>
        <v>6.8</v>
      </c>
      <c r="W36" s="145">
        <f>Z36-T36</f>
        <v>69723</v>
      </c>
      <c r="X36" s="145">
        <f>AA36-U36</f>
        <v>86002</v>
      </c>
      <c r="Y36" s="154">
        <f>ROUND(((X36/W36-1)*100),1)</f>
        <v>23.3</v>
      </c>
      <c r="Z36" s="48">
        <f>수입!AB33</f>
        <v>293019</v>
      </c>
      <c r="AA36" s="48">
        <f>수입!AC33</f>
        <v>324560</v>
      </c>
      <c r="AB36" s="154">
        <f>ROUND(((AA36/Z36-1)*100),1)</f>
        <v>10.8</v>
      </c>
      <c r="AC36" s="145">
        <f>AF36-Z36</f>
        <v>58191</v>
      </c>
      <c r="AD36" s="145">
        <f>AG36-AA36</f>
        <v>78702</v>
      </c>
      <c r="AE36" s="154">
        <f>ROUND(((AD36/AC36-1)*100),1)</f>
        <v>35.200000000000003</v>
      </c>
      <c r="AF36" s="48">
        <f>수입!AH33</f>
        <v>351210</v>
      </c>
      <c r="AG36" s="48">
        <f>수입!AI33</f>
        <v>403262</v>
      </c>
      <c r="AH36" s="154">
        <f>ROUND(((AG36/AF36-1)*100),1)</f>
        <v>14.8</v>
      </c>
    </row>
    <row r="37" spans="1:34" ht="22.5" customHeight="1">
      <c r="A37" s="744"/>
      <c r="B37" s="4" t="s">
        <v>31</v>
      </c>
      <c r="C37" s="134">
        <f>수입!E34</f>
        <v>5098171</v>
      </c>
      <c r="D37" s="134">
        <f>수입!F34</f>
        <v>5680329</v>
      </c>
      <c r="E37" s="134">
        <f>수입!G34</f>
        <v>5791947</v>
      </c>
      <c r="F37" s="134">
        <f>수입!H34</f>
        <v>5318770</v>
      </c>
      <c r="G37" s="491">
        <f>수입!I34</f>
        <v>5079186</v>
      </c>
      <c r="H37" s="134">
        <f>수입!J34</f>
        <v>435137</v>
      </c>
      <c r="I37" s="134">
        <f>수입!K34</f>
        <v>592003</v>
      </c>
      <c r="J37" s="148">
        <f t="shared" ref="J37:J59" si="26">ROUND(((I37/H37-1)*100),1)</f>
        <v>36</v>
      </c>
      <c r="K37" s="133">
        <f>N37-H37</f>
        <v>401948</v>
      </c>
      <c r="L37" s="133">
        <f>O37-I37</f>
        <v>592625</v>
      </c>
      <c r="M37" s="148">
        <f t="shared" ref="M37:M59" si="27">ROUND(((L37/K37-1)*100),1)</f>
        <v>47.4</v>
      </c>
      <c r="N37" s="134">
        <f>수입!P34</f>
        <v>837085</v>
      </c>
      <c r="O37" s="134">
        <f>수입!Q34</f>
        <v>1184628</v>
      </c>
      <c r="P37" s="148">
        <f t="shared" ref="P37:P59" si="28">ROUND(((O37/N37-1)*100),1)</f>
        <v>41.5</v>
      </c>
      <c r="Q37" s="133">
        <f>T37-N37</f>
        <v>478485</v>
      </c>
      <c r="R37" s="133">
        <f>U37-O37</f>
        <v>709021</v>
      </c>
      <c r="S37" s="148">
        <f t="shared" ref="S37:S59" si="29">ROUND(((R37/Q37-1)*100),1)</f>
        <v>48.2</v>
      </c>
      <c r="T37" s="134">
        <f>수입!V34</f>
        <v>1315570</v>
      </c>
      <c r="U37" s="134">
        <f>수입!W34</f>
        <v>1893649</v>
      </c>
      <c r="V37" s="148">
        <f t="shared" ref="V37:V59" si="30">ROUND(((U37/T37-1)*100),1)</f>
        <v>43.9</v>
      </c>
      <c r="W37" s="133">
        <f>Z37-T37</f>
        <v>389530</v>
      </c>
      <c r="X37" s="133">
        <f>AA37-U37</f>
        <v>758626</v>
      </c>
      <c r="Y37" s="148">
        <f t="shared" ref="Y37:Y59" si="31">ROUND(((X37/W37-1)*100),1)</f>
        <v>94.8</v>
      </c>
      <c r="Z37" s="134">
        <f>수입!AB34</f>
        <v>1705100</v>
      </c>
      <c r="AA37" s="134">
        <f>수입!AC34</f>
        <v>2652275</v>
      </c>
      <c r="AB37" s="148">
        <f t="shared" ref="AB37:AB59" si="32">ROUND(((AA37/Z37-1)*100),1)</f>
        <v>55.5</v>
      </c>
      <c r="AC37" s="133">
        <f>AF37-Z37</f>
        <v>340029</v>
      </c>
      <c r="AD37" s="133">
        <f>AG37-AA37</f>
        <v>717279</v>
      </c>
      <c r="AE37" s="148">
        <f t="shared" ref="AE37:AE59" si="33">ROUND(((AD37/AC37-1)*100),1)</f>
        <v>110.9</v>
      </c>
      <c r="AF37" s="134">
        <f>수입!AH34</f>
        <v>2045129</v>
      </c>
      <c r="AG37" s="134">
        <f>수입!AI34</f>
        <v>3369554</v>
      </c>
      <c r="AH37" s="148">
        <f t="shared" ref="AH37:AH59" si="34">ROUND(((AG37/AF37-1)*100),1)</f>
        <v>64.8</v>
      </c>
    </row>
    <row r="38" spans="1:34" ht="22.5" customHeight="1">
      <c r="A38" s="745"/>
      <c r="B38" s="141" t="s">
        <v>266</v>
      </c>
      <c r="C38" s="142">
        <f t="shared" ref="C38" si="35">C37/C36*1000</f>
        <v>5167.3567393836074</v>
      </c>
      <c r="D38" s="142">
        <f t="shared" ref="D38:I38" si="36">D37/D36*1000</f>
        <v>6250.8022131840271</v>
      </c>
      <c r="E38" s="142">
        <f t="shared" si="36"/>
        <v>6769.8758805769876</v>
      </c>
      <c r="F38" s="142">
        <f t="shared" si="36"/>
        <v>6245.4953341701721</v>
      </c>
      <c r="G38" s="496">
        <f t="shared" si="36"/>
        <v>6226.301021252496</v>
      </c>
      <c r="H38" s="142">
        <f t="shared" si="36"/>
        <v>5943.2766509595031</v>
      </c>
      <c r="I38" s="142">
        <f t="shared" si="36"/>
        <v>7613.8927115352462</v>
      </c>
      <c r="J38" s="155">
        <f t="shared" si="26"/>
        <v>28.1</v>
      </c>
      <c r="K38" s="53">
        <f>K37/K36*1000</f>
        <v>5971.1505607962563</v>
      </c>
      <c r="L38" s="53">
        <f>L37/L36*1000</f>
        <v>7947.0176473743495</v>
      </c>
      <c r="M38" s="155">
        <f t="shared" si="27"/>
        <v>33.1</v>
      </c>
      <c r="N38" s="142">
        <f>N37/N36*1000</f>
        <v>5956.6284779050739</v>
      </c>
      <c r="O38" s="142">
        <f>O37/O36*1000</f>
        <v>7776.9768586903001</v>
      </c>
      <c r="P38" s="155">
        <f t="shared" si="28"/>
        <v>30.6</v>
      </c>
      <c r="Q38" s="53">
        <f>Q37/Q36*1000</f>
        <v>5781.1782616050068</v>
      </c>
      <c r="R38" s="53">
        <f>R37/R36*1000</f>
        <v>8222.1539317894549</v>
      </c>
      <c r="S38" s="155">
        <f t="shared" si="29"/>
        <v>42.2</v>
      </c>
      <c r="T38" s="142">
        <f>T37/T36*1000</f>
        <v>5891.5968042419036</v>
      </c>
      <c r="U38" s="142">
        <f>U37/U36*1000</f>
        <v>7937.8977020263419</v>
      </c>
      <c r="V38" s="155">
        <f t="shared" si="30"/>
        <v>34.700000000000003</v>
      </c>
      <c r="W38" s="53">
        <f>W37/W36*1000</f>
        <v>5586.8221390358985</v>
      </c>
      <c r="X38" s="53">
        <f>X37/X36*1000</f>
        <v>8821.0274179670232</v>
      </c>
      <c r="Y38" s="155">
        <f t="shared" si="31"/>
        <v>57.9</v>
      </c>
      <c r="Z38" s="142">
        <f>Z37/Z36*1000</f>
        <v>5819.0765786518959</v>
      </c>
      <c r="AA38" s="142">
        <f>AA37/AA36*1000</f>
        <v>8171.9096623120531</v>
      </c>
      <c r="AB38" s="155">
        <f t="shared" si="32"/>
        <v>40.4</v>
      </c>
      <c r="AC38" s="53">
        <f>AC37/AC36*1000</f>
        <v>5843.3262875702421</v>
      </c>
      <c r="AD38" s="53">
        <f>AD37/AD36*1000</f>
        <v>9113.8598764961498</v>
      </c>
      <c r="AE38" s="155">
        <f t="shared" si="33"/>
        <v>56</v>
      </c>
      <c r="AF38" s="142">
        <f>AF37/AF36*1000</f>
        <v>5823.0944449189947</v>
      </c>
      <c r="AG38" s="142">
        <f>AG37/AG36*1000</f>
        <v>8355.7439084267789</v>
      </c>
      <c r="AH38" s="155">
        <f t="shared" si="34"/>
        <v>43.5</v>
      </c>
    </row>
    <row r="39" spans="1:34" ht="22.5" customHeight="1">
      <c r="A39" s="746" t="s">
        <v>267</v>
      </c>
      <c r="B39" s="694" t="s">
        <v>569</v>
      </c>
      <c r="C39" s="159">
        <f>수입!E81</f>
        <v>153734</v>
      </c>
      <c r="D39" s="159">
        <f>수입!F81</f>
        <v>154354</v>
      </c>
      <c r="E39" s="159">
        <f>수입!G81</f>
        <v>167186</v>
      </c>
      <c r="F39" s="159">
        <f>수입!H81</f>
        <v>151473</v>
      </c>
      <c r="G39" s="501">
        <f>수입!I81</f>
        <v>154486</v>
      </c>
      <c r="H39" s="159">
        <f>수입!J81</f>
        <v>12509</v>
      </c>
      <c r="I39" s="159">
        <f>수입!K81</f>
        <v>13741</v>
      </c>
      <c r="J39" s="149">
        <f t="shared" si="26"/>
        <v>9.8000000000000007</v>
      </c>
      <c r="K39" s="74">
        <f>N39-H39</f>
        <v>9241</v>
      </c>
      <c r="L39" s="74">
        <f>O39-I39</f>
        <v>10227</v>
      </c>
      <c r="M39" s="149">
        <f t="shared" si="27"/>
        <v>10.7</v>
      </c>
      <c r="N39" s="159">
        <f>수입!P81</f>
        <v>21750</v>
      </c>
      <c r="O39" s="159">
        <f>수입!Q81</f>
        <v>23968</v>
      </c>
      <c r="P39" s="149">
        <f t="shared" si="28"/>
        <v>10.199999999999999</v>
      </c>
      <c r="Q39" s="74">
        <f>T39-N39</f>
        <v>12131</v>
      </c>
      <c r="R39" s="74">
        <f>U39-O39</f>
        <v>18665</v>
      </c>
      <c r="S39" s="149">
        <f t="shared" si="29"/>
        <v>53.9</v>
      </c>
      <c r="T39" s="159">
        <f>수입!V81</f>
        <v>33881</v>
      </c>
      <c r="U39" s="159">
        <f>수입!W81</f>
        <v>42633</v>
      </c>
      <c r="V39" s="149">
        <f t="shared" si="30"/>
        <v>25.8</v>
      </c>
      <c r="W39" s="74">
        <f>Z39-T39</f>
        <v>10297</v>
      </c>
      <c r="X39" s="74">
        <f>AA39-U39</f>
        <v>16596</v>
      </c>
      <c r="Y39" s="149">
        <f t="shared" si="31"/>
        <v>61.2</v>
      </c>
      <c r="Z39" s="159">
        <f>수입!AB81</f>
        <v>44178</v>
      </c>
      <c r="AA39" s="159">
        <f>수입!AC81</f>
        <v>59229</v>
      </c>
      <c r="AB39" s="149">
        <f t="shared" si="32"/>
        <v>34.1</v>
      </c>
      <c r="AC39" s="74">
        <f>AF39-Z39</f>
        <v>8991</v>
      </c>
      <c r="AD39" s="74">
        <f>AG39-AA39</f>
        <v>14093</v>
      </c>
      <c r="AE39" s="149">
        <f t="shared" si="33"/>
        <v>56.7</v>
      </c>
      <c r="AF39" s="159">
        <f>수입!AH81</f>
        <v>53169</v>
      </c>
      <c r="AG39" s="159">
        <f>수입!AI81</f>
        <v>73322</v>
      </c>
      <c r="AH39" s="149">
        <f t="shared" si="34"/>
        <v>37.9</v>
      </c>
    </row>
    <row r="40" spans="1:34" ht="22.5" customHeight="1">
      <c r="A40" s="744"/>
      <c r="B40" s="4" t="s">
        <v>31</v>
      </c>
      <c r="C40" s="134">
        <f>수입!E82</f>
        <v>280289</v>
      </c>
      <c r="D40" s="134">
        <f>수입!F82</f>
        <v>350148</v>
      </c>
      <c r="E40" s="134">
        <f>수입!G82</f>
        <v>389373</v>
      </c>
      <c r="F40" s="134">
        <f>수입!H82</f>
        <v>306235</v>
      </c>
      <c r="G40" s="491">
        <f>수입!I82</f>
        <v>295873</v>
      </c>
      <c r="H40" s="134">
        <f>수입!J82</f>
        <v>25810</v>
      </c>
      <c r="I40" s="134">
        <f>수입!K82</f>
        <v>28326</v>
      </c>
      <c r="J40" s="148">
        <f t="shared" si="26"/>
        <v>9.6999999999999993</v>
      </c>
      <c r="K40" s="133">
        <f>N40-H40</f>
        <v>18751</v>
      </c>
      <c r="L40" s="133">
        <f>O40-I40</f>
        <v>20681</v>
      </c>
      <c r="M40" s="148">
        <f t="shared" si="27"/>
        <v>10.3</v>
      </c>
      <c r="N40" s="134">
        <f>수입!P82</f>
        <v>44561</v>
      </c>
      <c r="O40" s="134">
        <f>수입!Q82</f>
        <v>49007</v>
      </c>
      <c r="P40" s="148">
        <f t="shared" si="28"/>
        <v>10</v>
      </c>
      <c r="Q40" s="133">
        <f>T40-N40</f>
        <v>23978</v>
      </c>
      <c r="R40" s="133">
        <f>U40-O40</f>
        <v>38705</v>
      </c>
      <c r="S40" s="148">
        <f t="shared" si="29"/>
        <v>61.4</v>
      </c>
      <c r="T40" s="134">
        <f>수입!V82</f>
        <v>68539</v>
      </c>
      <c r="U40" s="134">
        <f>수입!W82</f>
        <v>87712</v>
      </c>
      <c r="V40" s="148">
        <f t="shared" si="30"/>
        <v>28</v>
      </c>
      <c r="W40" s="133">
        <f>Z40-T40</f>
        <v>19282</v>
      </c>
      <c r="X40" s="133">
        <f>AA40-U40</f>
        <v>34072</v>
      </c>
      <c r="Y40" s="148">
        <f t="shared" si="31"/>
        <v>76.7</v>
      </c>
      <c r="Z40" s="134">
        <f>수입!AB82</f>
        <v>87821</v>
      </c>
      <c r="AA40" s="134">
        <f>수입!AC82</f>
        <v>121784</v>
      </c>
      <c r="AB40" s="148">
        <f t="shared" si="32"/>
        <v>38.700000000000003</v>
      </c>
      <c r="AC40" s="133">
        <f>AF40-Z40</f>
        <v>16228</v>
      </c>
      <c r="AD40" s="133">
        <f>AG40-AA40</f>
        <v>29226</v>
      </c>
      <c r="AE40" s="148">
        <f t="shared" si="33"/>
        <v>80.099999999999994</v>
      </c>
      <c r="AF40" s="134">
        <f>수입!AH82</f>
        <v>104049</v>
      </c>
      <c r="AG40" s="134">
        <f>수입!AI82</f>
        <v>151010</v>
      </c>
      <c r="AH40" s="148">
        <f t="shared" si="34"/>
        <v>45.1</v>
      </c>
    </row>
    <row r="41" spans="1:34" ht="22.5" customHeight="1">
      <c r="A41" s="747"/>
      <c r="B41" s="6" t="s">
        <v>266</v>
      </c>
      <c r="C41" s="142">
        <f t="shared" ref="C41" si="37">C40/C39*1000</f>
        <v>1823.2076183537799</v>
      </c>
      <c r="D41" s="142">
        <f t="shared" ref="D41:I41" si="38">D40/D39*1000</f>
        <v>2268.4737680915296</v>
      </c>
      <c r="E41" s="142">
        <f t="shared" si="38"/>
        <v>2328.9808955295302</v>
      </c>
      <c r="F41" s="142">
        <f t="shared" si="38"/>
        <v>2021.7134406791968</v>
      </c>
      <c r="G41" s="496">
        <f t="shared" si="38"/>
        <v>1915.2091451652577</v>
      </c>
      <c r="H41" s="142">
        <f t="shared" si="38"/>
        <v>2063.3144136221922</v>
      </c>
      <c r="I41" s="142">
        <f t="shared" si="38"/>
        <v>2061.4220216869226</v>
      </c>
      <c r="J41" s="156">
        <f t="shared" si="26"/>
        <v>-0.1</v>
      </c>
      <c r="K41" s="53">
        <f>K40/K39*1000</f>
        <v>2029.1094037441835</v>
      </c>
      <c r="L41" s="53">
        <f>L40/L39*1000</f>
        <v>2022.1961474528212</v>
      </c>
      <c r="M41" s="156">
        <f t="shared" si="27"/>
        <v>-0.3</v>
      </c>
      <c r="N41" s="142">
        <f>N40/N39*1000</f>
        <v>2048.7816091954019</v>
      </c>
      <c r="O41" s="142">
        <f>O40/O39*1000</f>
        <v>2044.6845794392523</v>
      </c>
      <c r="P41" s="156">
        <f t="shared" si="28"/>
        <v>-0.2</v>
      </c>
      <c r="Q41" s="53">
        <f>Q40/Q39*1000</f>
        <v>1976.5889044596488</v>
      </c>
      <c r="R41" s="53">
        <f>R40/R39*1000</f>
        <v>2073.6672917224755</v>
      </c>
      <c r="S41" s="156">
        <f t="shared" si="29"/>
        <v>4.9000000000000004</v>
      </c>
      <c r="T41" s="142">
        <f>T40/T39*1000</f>
        <v>2022.9332074023789</v>
      </c>
      <c r="U41" s="142">
        <f>U40/U39*1000</f>
        <v>2057.3733961954354</v>
      </c>
      <c r="V41" s="156">
        <f t="shared" si="30"/>
        <v>1.7</v>
      </c>
      <c r="W41" s="53">
        <f>W40/W39*1000</f>
        <v>1872.5842478391764</v>
      </c>
      <c r="X41" s="53">
        <f>X40/X39*1000</f>
        <v>2053.0248252590986</v>
      </c>
      <c r="Y41" s="156">
        <f t="shared" si="31"/>
        <v>9.6</v>
      </c>
      <c r="Z41" s="142">
        <f>Z40/Z39*1000</f>
        <v>1987.8898999502014</v>
      </c>
      <c r="AA41" s="142">
        <f>AA40/AA39*1000</f>
        <v>2056.1549241081229</v>
      </c>
      <c r="AB41" s="156">
        <f t="shared" si="32"/>
        <v>3.4</v>
      </c>
      <c r="AC41" s="53">
        <f>AC40/AC39*1000</f>
        <v>1804.9160271382493</v>
      </c>
      <c r="AD41" s="53">
        <f>AD40/AD39*1000</f>
        <v>2073.7955013127084</v>
      </c>
      <c r="AE41" s="156">
        <f t="shared" si="33"/>
        <v>14.9</v>
      </c>
      <c r="AF41" s="142">
        <f>AF40/AF39*1000</f>
        <v>1956.9485978671783</v>
      </c>
      <c r="AG41" s="142">
        <f>AG40/AG39*1000</f>
        <v>2059.5455661329479</v>
      </c>
      <c r="AH41" s="156">
        <f t="shared" si="34"/>
        <v>5.2</v>
      </c>
    </row>
    <row r="42" spans="1:34" ht="22.5" customHeight="1">
      <c r="A42" s="746" t="s">
        <v>268</v>
      </c>
      <c r="B42" s="694" t="s">
        <v>569</v>
      </c>
      <c r="C42" s="159">
        <f>수입!E72</f>
        <v>71328</v>
      </c>
      <c r="D42" s="159">
        <f>수입!F72</f>
        <v>73916</v>
      </c>
      <c r="E42" s="159">
        <f>수입!G72</f>
        <v>69642</v>
      </c>
      <c r="F42" s="159">
        <f>수입!H72</f>
        <v>55922</v>
      </c>
      <c r="G42" s="501">
        <f>수입!I72</f>
        <v>46495</v>
      </c>
      <c r="H42" s="159">
        <f>수입!J72</f>
        <v>4555</v>
      </c>
      <c r="I42" s="159">
        <f>수입!K72</f>
        <v>3866</v>
      </c>
      <c r="J42" s="149">
        <f t="shared" si="26"/>
        <v>-15.1</v>
      </c>
      <c r="K42" s="74">
        <f>N42-H42</f>
        <v>4360</v>
      </c>
      <c r="L42" s="74">
        <f>O42-I42</f>
        <v>2148</v>
      </c>
      <c r="M42" s="149">
        <f t="shared" si="27"/>
        <v>-50.7</v>
      </c>
      <c r="N42" s="159">
        <f>수입!P72</f>
        <v>8915</v>
      </c>
      <c r="O42" s="159">
        <f>수입!Q72</f>
        <v>6014</v>
      </c>
      <c r="P42" s="149">
        <f t="shared" si="28"/>
        <v>-32.5</v>
      </c>
      <c r="Q42" s="74">
        <f>T42-N42</f>
        <v>7234</v>
      </c>
      <c r="R42" s="74">
        <f>U42-O42</f>
        <v>4733</v>
      </c>
      <c r="S42" s="149">
        <f t="shared" si="29"/>
        <v>-34.6</v>
      </c>
      <c r="T42" s="159">
        <f>수입!V72</f>
        <v>16149</v>
      </c>
      <c r="U42" s="159">
        <f>수입!W72</f>
        <v>10747</v>
      </c>
      <c r="V42" s="149">
        <f t="shared" si="30"/>
        <v>-33.5</v>
      </c>
      <c r="W42" s="74">
        <f>Z42-T42</f>
        <v>3077</v>
      </c>
      <c r="X42" s="74">
        <f>AA42-U42</f>
        <v>3898</v>
      </c>
      <c r="Y42" s="149">
        <f t="shared" si="31"/>
        <v>26.7</v>
      </c>
      <c r="Z42" s="159">
        <f>수입!AB72</f>
        <v>19226</v>
      </c>
      <c r="AA42" s="159">
        <f>수입!AC72</f>
        <v>14645</v>
      </c>
      <c r="AB42" s="149">
        <f t="shared" si="32"/>
        <v>-23.8</v>
      </c>
      <c r="AC42" s="74">
        <f>AF42-Z42</f>
        <v>3402</v>
      </c>
      <c r="AD42" s="74">
        <f>AG42-AA42</f>
        <v>3129</v>
      </c>
      <c r="AE42" s="149">
        <f t="shared" si="33"/>
        <v>-8</v>
      </c>
      <c r="AF42" s="159">
        <f>수입!AH72</f>
        <v>22628</v>
      </c>
      <c r="AG42" s="159">
        <f>수입!AI72</f>
        <v>17774</v>
      </c>
      <c r="AH42" s="149">
        <f t="shared" si="34"/>
        <v>-21.5</v>
      </c>
    </row>
    <row r="43" spans="1:34" ht="22.5" customHeight="1">
      <c r="A43" s="744"/>
      <c r="B43" s="4" t="s">
        <v>31</v>
      </c>
      <c r="C43" s="134">
        <f>수입!E73</f>
        <v>163853</v>
      </c>
      <c r="D43" s="134">
        <f>수입!F73</f>
        <v>223188</v>
      </c>
      <c r="E43" s="134">
        <f>수입!G73</f>
        <v>227307</v>
      </c>
      <c r="F43" s="134">
        <f>수입!H73</f>
        <v>161151</v>
      </c>
      <c r="G43" s="491">
        <f>수입!I73</f>
        <v>120744</v>
      </c>
      <c r="H43" s="134">
        <f>수입!J73</f>
        <v>12295</v>
      </c>
      <c r="I43" s="134">
        <f>수입!K73</f>
        <v>11302</v>
      </c>
      <c r="J43" s="148">
        <f t="shared" si="26"/>
        <v>-8.1</v>
      </c>
      <c r="K43" s="133">
        <f>N43-H43</f>
        <v>11588</v>
      </c>
      <c r="L43" s="133">
        <f>O43-I43</f>
        <v>6599</v>
      </c>
      <c r="M43" s="148">
        <f t="shared" si="27"/>
        <v>-43.1</v>
      </c>
      <c r="N43" s="134">
        <f>수입!P73</f>
        <v>23883</v>
      </c>
      <c r="O43" s="134">
        <f>수입!Q73</f>
        <v>17901</v>
      </c>
      <c r="P43" s="148">
        <f t="shared" si="28"/>
        <v>-25</v>
      </c>
      <c r="Q43" s="133">
        <f>T43-N43</f>
        <v>17061</v>
      </c>
      <c r="R43" s="133">
        <f>U43-O43</f>
        <v>14566</v>
      </c>
      <c r="S43" s="148">
        <f t="shared" si="29"/>
        <v>-14.6</v>
      </c>
      <c r="T43" s="134">
        <f>수입!V73</f>
        <v>40944</v>
      </c>
      <c r="U43" s="134">
        <f>수입!W73</f>
        <v>32467</v>
      </c>
      <c r="V43" s="148">
        <f t="shared" si="30"/>
        <v>-20.7</v>
      </c>
      <c r="W43" s="133">
        <f>Z43-T43</f>
        <v>8018</v>
      </c>
      <c r="X43" s="133">
        <f>AA43-U43</f>
        <v>12230</v>
      </c>
      <c r="Y43" s="148">
        <f t="shared" si="31"/>
        <v>52.5</v>
      </c>
      <c r="Z43" s="134">
        <f>수입!AB73</f>
        <v>48962</v>
      </c>
      <c r="AA43" s="134">
        <f>수입!AC73</f>
        <v>44697</v>
      </c>
      <c r="AB43" s="148">
        <f t="shared" si="32"/>
        <v>-8.6999999999999993</v>
      </c>
      <c r="AC43" s="133">
        <f>AF43-Z43</f>
        <v>8528</v>
      </c>
      <c r="AD43" s="133">
        <f>AG43-AA43</f>
        <v>10009</v>
      </c>
      <c r="AE43" s="148">
        <f t="shared" si="33"/>
        <v>17.399999999999999</v>
      </c>
      <c r="AF43" s="134">
        <f>수입!AH73</f>
        <v>57490</v>
      </c>
      <c r="AG43" s="134">
        <f>수입!AI73</f>
        <v>54706</v>
      </c>
      <c r="AH43" s="148">
        <f t="shared" si="34"/>
        <v>-4.8</v>
      </c>
    </row>
    <row r="44" spans="1:34" ht="22.5" customHeight="1">
      <c r="A44" s="747"/>
      <c r="B44" s="6" t="s">
        <v>266</v>
      </c>
      <c r="C44" s="142">
        <f t="shared" ref="C44" si="39">C43/C42*1000</f>
        <v>2297.176424405563</v>
      </c>
      <c r="D44" s="142">
        <f t="shared" ref="D44:I44" si="40">D43/D42*1000</f>
        <v>3019.4815736782293</v>
      </c>
      <c r="E44" s="142">
        <f t="shared" si="40"/>
        <v>3263.9355561299217</v>
      </c>
      <c r="F44" s="142">
        <f t="shared" si="40"/>
        <v>2881.710239261829</v>
      </c>
      <c r="G44" s="496">
        <f t="shared" si="40"/>
        <v>2596.9244004731695</v>
      </c>
      <c r="H44" s="142">
        <f t="shared" si="40"/>
        <v>2699.2316136114159</v>
      </c>
      <c r="I44" s="142">
        <f t="shared" si="40"/>
        <v>2923.4350750129333</v>
      </c>
      <c r="J44" s="156">
        <f t="shared" si="26"/>
        <v>8.3000000000000007</v>
      </c>
      <c r="K44" s="53">
        <f>K43/K42*1000</f>
        <v>2657.7981651376149</v>
      </c>
      <c r="L44" s="53">
        <f>L43/L42*1000</f>
        <v>3072.1601489757913</v>
      </c>
      <c r="M44" s="156">
        <f t="shared" si="27"/>
        <v>15.6</v>
      </c>
      <c r="N44" s="142">
        <f>N43/N42*1000</f>
        <v>2678.9680314077395</v>
      </c>
      <c r="O44" s="142">
        <f>O43/O42*1000</f>
        <v>2976.5547056867308</v>
      </c>
      <c r="P44" s="156">
        <f t="shared" si="28"/>
        <v>11.1</v>
      </c>
      <c r="Q44" s="53">
        <f>Q43/Q42*1000</f>
        <v>2358.4462261542717</v>
      </c>
      <c r="R44" s="53">
        <f>R43/R42*1000</f>
        <v>3077.5406718783015</v>
      </c>
      <c r="S44" s="156">
        <f t="shared" si="29"/>
        <v>30.5</v>
      </c>
      <c r="T44" s="142">
        <f>T43/T42*1000</f>
        <v>2535.3891881850268</v>
      </c>
      <c r="U44" s="142">
        <f>U43/U42*1000</f>
        <v>3021.0291244068112</v>
      </c>
      <c r="V44" s="156">
        <f t="shared" si="30"/>
        <v>19.2</v>
      </c>
      <c r="W44" s="53">
        <f>W43/W42*1000</f>
        <v>2605.7848553786152</v>
      </c>
      <c r="X44" s="53">
        <f>X43/X42*1000</f>
        <v>3137.5064135454077</v>
      </c>
      <c r="Y44" s="156">
        <f t="shared" si="31"/>
        <v>20.399999999999999</v>
      </c>
      <c r="Z44" s="142">
        <f>Z43/Z42*1000</f>
        <v>2546.655570581504</v>
      </c>
      <c r="AA44" s="142">
        <f>AA43/AA42*1000</f>
        <v>3052.0314100375554</v>
      </c>
      <c r="AB44" s="156">
        <f t="shared" si="32"/>
        <v>19.8</v>
      </c>
      <c r="AC44" s="53">
        <f>AC43/AC42*1000</f>
        <v>2506.7607289829512</v>
      </c>
      <c r="AD44" s="53">
        <f>AD43/AD42*1000</f>
        <v>3198.7855544902523</v>
      </c>
      <c r="AE44" s="156">
        <f t="shared" si="33"/>
        <v>27.6</v>
      </c>
      <c r="AF44" s="142">
        <f>AF43/AF42*1000</f>
        <v>2540.6575923634437</v>
      </c>
      <c r="AG44" s="142">
        <f>AG43/AG42*1000</f>
        <v>3077.8665466411612</v>
      </c>
      <c r="AH44" s="156">
        <f t="shared" si="34"/>
        <v>21.1</v>
      </c>
    </row>
    <row r="45" spans="1:34" ht="22.5" customHeight="1">
      <c r="A45" s="746" t="s">
        <v>269</v>
      </c>
      <c r="B45" s="694" t="s">
        <v>569</v>
      </c>
      <c r="C45" s="159">
        <f>수입!E63</f>
        <v>2710289</v>
      </c>
      <c r="D45" s="159">
        <f>수입!F63</f>
        <v>2860037</v>
      </c>
      <c r="E45" s="159">
        <f>수입!G63</f>
        <v>2829768</v>
      </c>
      <c r="F45" s="159">
        <f>수입!H63</f>
        <v>2941636</v>
      </c>
      <c r="G45" s="501">
        <f>수입!I63</f>
        <v>2850552</v>
      </c>
      <c r="H45" s="159">
        <f>수입!J63</f>
        <v>242620</v>
      </c>
      <c r="I45" s="159">
        <f>수입!K63</f>
        <v>249442</v>
      </c>
      <c r="J45" s="149">
        <f t="shared" si="26"/>
        <v>2.8</v>
      </c>
      <c r="K45" s="74">
        <f>N45-H45</f>
        <v>215989</v>
      </c>
      <c r="L45" s="74">
        <f>O45-I45</f>
        <v>229098</v>
      </c>
      <c r="M45" s="149">
        <f t="shared" si="27"/>
        <v>6.1</v>
      </c>
      <c r="N45" s="159">
        <f>수입!P63</f>
        <v>458609</v>
      </c>
      <c r="O45" s="159">
        <f>수입!Q63</f>
        <v>478540</v>
      </c>
      <c r="P45" s="149">
        <f t="shared" si="28"/>
        <v>4.3</v>
      </c>
      <c r="Q45" s="74">
        <f>T45-N45</f>
        <v>239079</v>
      </c>
      <c r="R45" s="74">
        <f>U45-O45</f>
        <v>297858</v>
      </c>
      <c r="S45" s="149">
        <f t="shared" si="29"/>
        <v>24.6</v>
      </c>
      <c r="T45" s="159">
        <f>수입!V63</f>
        <v>697688</v>
      </c>
      <c r="U45" s="159">
        <f>수입!W63</f>
        <v>776398</v>
      </c>
      <c r="V45" s="149">
        <f t="shared" si="30"/>
        <v>11.3</v>
      </c>
      <c r="W45" s="74">
        <f>Z45-T45</f>
        <v>253673</v>
      </c>
      <c r="X45" s="74">
        <f>AA45-U45</f>
        <v>282800</v>
      </c>
      <c r="Y45" s="149">
        <f t="shared" si="31"/>
        <v>11.5</v>
      </c>
      <c r="Z45" s="159">
        <f>수입!AB63</f>
        <v>951361</v>
      </c>
      <c r="AA45" s="159">
        <f>수입!AC63</f>
        <v>1059198</v>
      </c>
      <c r="AB45" s="149">
        <f t="shared" si="32"/>
        <v>11.3</v>
      </c>
      <c r="AC45" s="74">
        <f>AF45-Z45</f>
        <v>232795</v>
      </c>
      <c r="AD45" s="74">
        <f>AG45-AA45</f>
        <v>247993</v>
      </c>
      <c r="AE45" s="149">
        <f t="shared" si="33"/>
        <v>6.5</v>
      </c>
      <c r="AF45" s="159">
        <f>수입!AH63</f>
        <v>1184156</v>
      </c>
      <c r="AG45" s="159">
        <f>수입!AI63</f>
        <v>1307191</v>
      </c>
      <c r="AH45" s="149">
        <f t="shared" si="34"/>
        <v>10.4</v>
      </c>
    </row>
    <row r="46" spans="1:34" ht="22.5" customHeight="1">
      <c r="A46" s="744"/>
      <c r="B46" s="4" t="s">
        <v>31</v>
      </c>
      <c r="C46" s="134">
        <f>수입!E64</f>
        <v>5421698</v>
      </c>
      <c r="D46" s="134">
        <f>수입!F64</f>
        <v>6462277</v>
      </c>
      <c r="E46" s="134">
        <f>수입!G64</f>
        <v>6956881</v>
      </c>
      <c r="F46" s="134">
        <f>수입!H64</f>
        <v>6295986</v>
      </c>
      <c r="G46" s="491">
        <f>수입!I64</f>
        <v>5754200</v>
      </c>
      <c r="H46" s="134">
        <f>수입!J64</f>
        <v>500161</v>
      </c>
      <c r="I46" s="134">
        <f>수입!K64</f>
        <v>568343</v>
      </c>
      <c r="J46" s="148">
        <f t="shared" si="26"/>
        <v>13.6</v>
      </c>
      <c r="K46" s="133">
        <f>N46-H46</f>
        <v>434542</v>
      </c>
      <c r="L46" s="133">
        <f>O46-I46</f>
        <v>532439</v>
      </c>
      <c r="M46" s="148">
        <f t="shared" si="27"/>
        <v>22.5</v>
      </c>
      <c r="N46" s="134">
        <f>수입!P64</f>
        <v>934703</v>
      </c>
      <c r="O46" s="134">
        <f>수입!Q64</f>
        <v>1100782</v>
      </c>
      <c r="P46" s="148">
        <f t="shared" si="28"/>
        <v>17.8</v>
      </c>
      <c r="Q46" s="133">
        <f>T46-N46</f>
        <v>500258</v>
      </c>
      <c r="R46" s="133">
        <f>U46-O46</f>
        <v>713328</v>
      </c>
      <c r="S46" s="148">
        <f t="shared" si="29"/>
        <v>42.6</v>
      </c>
      <c r="T46" s="134">
        <f>수입!V64</f>
        <v>1434961</v>
      </c>
      <c r="U46" s="134">
        <f>수입!W64</f>
        <v>1814110</v>
      </c>
      <c r="V46" s="148">
        <f t="shared" si="30"/>
        <v>26.4</v>
      </c>
      <c r="W46" s="133">
        <f>Z46-T46</f>
        <v>497047</v>
      </c>
      <c r="X46" s="133">
        <f>AA46-U46</f>
        <v>708108</v>
      </c>
      <c r="Y46" s="148">
        <f t="shared" si="31"/>
        <v>42.5</v>
      </c>
      <c r="Z46" s="134">
        <f>수입!AB64</f>
        <v>1932008</v>
      </c>
      <c r="AA46" s="134">
        <f>수입!AC64</f>
        <v>2522218</v>
      </c>
      <c r="AB46" s="148">
        <f t="shared" si="32"/>
        <v>30.5</v>
      </c>
      <c r="AC46" s="133">
        <f>AF46-Z46</f>
        <v>447883</v>
      </c>
      <c r="AD46" s="133">
        <f>AG46-AA46</f>
        <v>638602</v>
      </c>
      <c r="AE46" s="148">
        <f t="shared" si="33"/>
        <v>42.6</v>
      </c>
      <c r="AF46" s="134">
        <f>수입!AH64</f>
        <v>2379891</v>
      </c>
      <c r="AG46" s="134">
        <f>수입!AI64</f>
        <v>3160820</v>
      </c>
      <c r="AH46" s="148">
        <f t="shared" si="34"/>
        <v>32.799999999999997</v>
      </c>
    </row>
    <row r="47" spans="1:34" ht="22.5" customHeight="1">
      <c r="A47" s="747"/>
      <c r="B47" s="6" t="s">
        <v>266</v>
      </c>
      <c r="C47" s="142">
        <f t="shared" ref="C47" si="41">C46/C45*1000</f>
        <v>2000.4132400640669</v>
      </c>
      <c r="D47" s="142">
        <f t="shared" ref="D47:I47" si="42">D46/D45*1000</f>
        <v>2259.5081811878658</v>
      </c>
      <c r="E47" s="142">
        <f t="shared" si="42"/>
        <v>2458.4633793300368</v>
      </c>
      <c r="F47" s="142">
        <f t="shared" si="42"/>
        <v>2140.300839396853</v>
      </c>
      <c r="G47" s="496">
        <f t="shared" si="42"/>
        <v>2018.6265677665237</v>
      </c>
      <c r="H47" s="142">
        <f t="shared" si="42"/>
        <v>2061.4994641826725</v>
      </c>
      <c r="I47" s="142">
        <f t="shared" si="42"/>
        <v>2278.4575171783417</v>
      </c>
      <c r="J47" s="156">
        <f t="shared" si="26"/>
        <v>10.5</v>
      </c>
      <c r="K47" s="53">
        <f>K46/K45*1000</f>
        <v>2011.8709749107593</v>
      </c>
      <c r="L47" s="53">
        <f>L46/L45*1000</f>
        <v>2324.0665566700709</v>
      </c>
      <c r="M47" s="156">
        <f t="shared" si="27"/>
        <v>15.5</v>
      </c>
      <c r="N47" s="142">
        <f>N46/N45*1000</f>
        <v>2038.1261597570042</v>
      </c>
      <c r="O47" s="142">
        <f>O46/O45*1000</f>
        <v>2300.2925565261003</v>
      </c>
      <c r="P47" s="156">
        <f t="shared" si="28"/>
        <v>12.9</v>
      </c>
      <c r="Q47" s="53">
        <f>Q46/Q45*1000</f>
        <v>2092.4380644054895</v>
      </c>
      <c r="R47" s="53">
        <f>R46/R45*1000</f>
        <v>2394.859295368934</v>
      </c>
      <c r="S47" s="156">
        <f t="shared" si="29"/>
        <v>14.5</v>
      </c>
      <c r="T47" s="142">
        <f>T46/T45*1000</f>
        <v>2056.7373955120338</v>
      </c>
      <c r="U47" s="142">
        <f>U46/U45*1000</f>
        <v>2336.5722219789332</v>
      </c>
      <c r="V47" s="156">
        <f t="shared" si="30"/>
        <v>13.6</v>
      </c>
      <c r="W47" s="53">
        <f>W46/W45*1000</f>
        <v>1959.4004880298653</v>
      </c>
      <c r="X47" s="53">
        <f>X46/X45*1000</f>
        <v>2503.9179632248938</v>
      </c>
      <c r="Y47" s="156">
        <f t="shared" si="31"/>
        <v>27.8</v>
      </c>
      <c r="Z47" s="142">
        <f>Z46/Z45*1000</f>
        <v>2030.7832673401581</v>
      </c>
      <c r="AA47" s="142">
        <f>AA46/AA45*1000</f>
        <v>2381.2526081053779</v>
      </c>
      <c r="AB47" s="156">
        <f t="shared" si="32"/>
        <v>17.3</v>
      </c>
      <c r="AC47" s="53">
        <f>AC46/AC45*1000</f>
        <v>1923.93736978887</v>
      </c>
      <c r="AD47" s="53">
        <f>AD46/AD45*1000</f>
        <v>2575.0807482469263</v>
      </c>
      <c r="AE47" s="156">
        <f t="shared" si="33"/>
        <v>33.799999999999997</v>
      </c>
      <c r="AF47" s="142">
        <f>AF46/AF45*1000</f>
        <v>2009.7782724573449</v>
      </c>
      <c r="AG47" s="142">
        <f>AG46/AG45*1000</f>
        <v>2418.0246039025665</v>
      </c>
      <c r="AH47" s="156">
        <f t="shared" si="34"/>
        <v>20.3</v>
      </c>
    </row>
    <row r="48" spans="1:34" ht="22.5" customHeight="1">
      <c r="A48" s="746" t="s">
        <v>270</v>
      </c>
      <c r="B48" s="694" t="s">
        <v>569</v>
      </c>
      <c r="C48" s="159">
        <f>수입!E90</f>
        <v>61989</v>
      </c>
      <c r="D48" s="159">
        <f>수입!F90</f>
        <v>55445</v>
      </c>
      <c r="E48" s="159">
        <f>수입!G90</f>
        <v>56649</v>
      </c>
      <c r="F48" s="159">
        <f>수입!H90</f>
        <v>61123</v>
      </c>
      <c r="G48" s="501">
        <f>수입!I90</f>
        <v>57967</v>
      </c>
      <c r="H48" s="159">
        <f>수입!J90</f>
        <v>4901</v>
      </c>
      <c r="I48" s="159">
        <f>수입!K90</f>
        <v>5478</v>
      </c>
      <c r="J48" s="149">
        <f t="shared" si="26"/>
        <v>11.8</v>
      </c>
      <c r="K48" s="74">
        <f>N48-H48</f>
        <v>5245</v>
      </c>
      <c r="L48" s="74">
        <f>O48-I48</f>
        <v>4198</v>
      </c>
      <c r="M48" s="149">
        <f t="shared" si="27"/>
        <v>-20</v>
      </c>
      <c r="N48" s="159">
        <f>수입!P90</f>
        <v>10146</v>
      </c>
      <c r="O48" s="159">
        <f>수입!Q90</f>
        <v>9676</v>
      </c>
      <c r="P48" s="149">
        <f t="shared" si="28"/>
        <v>-4.5999999999999996</v>
      </c>
      <c r="Q48" s="74">
        <f>T48-N48</f>
        <v>4453</v>
      </c>
      <c r="R48" s="74">
        <f>U48-O48</f>
        <v>7467</v>
      </c>
      <c r="S48" s="149">
        <f t="shared" si="29"/>
        <v>67.7</v>
      </c>
      <c r="T48" s="159">
        <f>수입!V90</f>
        <v>14599</v>
      </c>
      <c r="U48" s="159">
        <f>수입!W90</f>
        <v>17143</v>
      </c>
      <c r="V48" s="149">
        <f t="shared" si="30"/>
        <v>17.399999999999999</v>
      </c>
      <c r="W48" s="74">
        <f>Z48-T48</f>
        <v>5362</v>
      </c>
      <c r="X48" s="74">
        <f>AA48-U48</f>
        <v>5874</v>
      </c>
      <c r="Y48" s="149">
        <f t="shared" si="31"/>
        <v>9.5</v>
      </c>
      <c r="Z48" s="159">
        <f>수입!AB90</f>
        <v>19961</v>
      </c>
      <c r="AA48" s="159">
        <f>수입!AC90</f>
        <v>23017</v>
      </c>
      <c r="AB48" s="149">
        <f t="shared" si="32"/>
        <v>15.3</v>
      </c>
      <c r="AC48" s="74">
        <f>AF48-Z48</f>
        <v>4286</v>
      </c>
      <c r="AD48" s="74">
        <f>AG48-AA48</f>
        <v>6711</v>
      </c>
      <c r="AE48" s="149">
        <f t="shared" si="33"/>
        <v>56.6</v>
      </c>
      <c r="AF48" s="159">
        <f>수입!AH90</f>
        <v>24247</v>
      </c>
      <c r="AG48" s="159">
        <f>수입!AI90</f>
        <v>29728</v>
      </c>
      <c r="AH48" s="149">
        <f t="shared" si="34"/>
        <v>22.6</v>
      </c>
    </row>
    <row r="49" spans="1:34" ht="22.5" customHeight="1">
      <c r="A49" s="744"/>
      <c r="B49" s="4" t="s">
        <v>31</v>
      </c>
      <c r="C49" s="134">
        <f>수입!E91</f>
        <v>747484</v>
      </c>
      <c r="D49" s="134">
        <f>수입!F91</f>
        <v>801624</v>
      </c>
      <c r="E49" s="134">
        <f>수입!G91</f>
        <v>1006293</v>
      </c>
      <c r="F49" s="134">
        <f>수입!H91</f>
        <v>1095792</v>
      </c>
      <c r="G49" s="491">
        <f>수입!I91</f>
        <v>1011279</v>
      </c>
      <c r="H49" s="134">
        <f>수입!J91</f>
        <v>89093</v>
      </c>
      <c r="I49" s="134">
        <f>수입!K91</f>
        <v>102140</v>
      </c>
      <c r="J49" s="148">
        <f t="shared" si="26"/>
        <v>14.6</v>
      </c>
      <c r="K49" s="133">
        <f>N49-H49</f>
        <v>86950</v>
      </c>
      <c r="L49" s="133">
        <f>O49-I49</f>
        <v>86208</v>
      </c>
      <c r="M49" s="148">
        <f t="shared" si="27"/>
        <v>-0.9</v>
      </c>
      <c r="N49" s="134">
        <f>수입!P91</f>
        <v>176043</v>
      </c>
      <c r="O49" s="134">
        <f>수입!Q91</f>
        <v>188348</v>
      </c>
      <c r="P49" s="148">
        <f t="shared" si="28"/>
        <v>7</v>
      </c>
      <c r="Q49" s="133">
        <f>T49-N49</f>
        <v>81167</v>
      </c>
      <c r="R49" s="133">
        <f>U49-O49</f>
        <v>122323</v>
      </c>
      <c r="S49" s="148">
        <f t="shared" si="29"/>
        <v>50.7</v>
      </c>
      <c r="T49" s="134">
        <f>수입!V91</f>
        <v>257210</v>
      </c>
      <c r="U49" s="134">
        <f>수입!W91</f>
        <v>310671</v>
      </c>
      <c r="V49" s="148">
        <f t="shared" si="30"/>
        <v>20.8</v>
      </c>
      <c r="W49" s="133">
        <f>Z49-T49</f>
        <v>85997</v>
      </c>
      <c r="X49" s="133">
        <f>AA49-U49</f>
        <v>126288</v>
      </c>
      <c r="Y49" s="148">
        <f t="shared" si="31"/>
        <v>46.9</v>
      </c>
      <c r="Z49" s="134">
        <f>수입!AB91</f>
        <v>343207</v>
      </c>
      <c r="AA49" s="134">
        <f>수입!AC91</f>
        <v>436959</v>
      </c>
      <c r="AB49" s="148">
        <f t="shared" si="32"/>
        <v>27.3</v>
      </c>
      <c r="AC49" s="133">
        <f>AF49-Z49</f>
        <v>67102</v>
      </c>
      <c r="AD49" s="133">
        <f>AG49-AA49</f>
        <v>116623</v>
      </c>
      <c r="AE49" s="148">
        <f t="shared" si="33"/>
        <v>73.8</v>
      </c>
      <c r="AF49" s="134">
        <f>수입!AH91</f>
        <v>410309</v>
      </c>
      <c r="AG49" s="134">
        <f>수입!AI91</f>
        <v>553582</v>
      </c>
      <c r="AH49" s="148">
        <f t="shared" si="34"/>
        <v>34.9</v>
      </c>
    </row>
    <row r="50" spans="1:34" ht="22.5" customHeight="1">
      <c r="A50" s="747"/>
      <c r="B50" s="6" t="s">
        <v>266</v>
      </c>
      <c r="C50" s="142">
        <f t="shared" ref="C50" si="43">C49/C48*1000</f>
        <v>12058.332930035973</v>
      </c>
      <c r="D50" s="142">
        <f t="shared" ref="D50:I50" si="44">D49/D48*1000</f>
        <v>14458.00342681937</v>
      </c>
      <c r="E50" s="142">
        <f t="shared" si="44"/>
        <v>17763.649843774827</v>
      </c>
      <c r="F50" s="142">
        <f t="shared" si="44"/>
        <v>17927.654074570946</v>
      </c>
      <c r="G50" s="496">
        <f t="shared" si="44"/>
        <v>17445.770869632721</v>
      </c>
      <c r="H50" s="142">
        <f t="shared" si="44"/>
        <v>18178.5349928586</v>
      </c>
      <c r="I50" s="142">
        <f t="shared" si="44"/>
        <v>18645.491055129613</v>
      </c>
      <c r="J50" s="156">
        <f t="shared" si="26"/>
        <v>2.6</v>
      </c>
      <c r="K50" s="53">
        <f>K49/K48*1000</f>
        <v>16577.69304099142</v>
      </c>
      <c r="L50" s="53">
        <f>L49/L48*1000</f>
        <v>20535.493091948545</v>
      </c>
      <c r="M50" s="156">
        <f t="shared" si="27"/>
        <v>23.9</v>
      </c>
      <c r="N50" s="142">
        <f>N49/N48*1000</f>
        <v>17350.975753991723</v>
      </c>
      <c r="O50" s="142">
        <f>O49/O48*1000</f>
        <v>19465.481603968579</v>
      </c>
      <c r="P50" s="156">
        <f t="shared" si="28"/>
        <v>12.2</v>
      </c>
      <c r="Q50" s="53">
        <f>Q49/Q48*1000</f>
        <v>18227.48708735684</v>
      </c>
      <c r="R50" s="53">
        <f>R49/R48*1000</f>
        <v>16381.81331190572</v>
      </c>
      <c r="S50" s="156">
        <f t="shared" si="29"/>
        <v>-10.1</v>
      </c>
      <c r="T50" s="142">
        <f>T49/T48*1000</f>
        <v>17618.330022604288</v>
      </c>
      <c r="U50" s="142">
        <f>U49/U48*1000</f>
        <v>18122.323980633497</v>
      </c>
      <c r="V50" s="156">
        <f t="shared" si="30"/>
        <v>2.9</v>
      </c>
      <c r="W50" s="53">
        <f>W49/W48*1000</f>
        <v>16038.232002983961</v>
      </c>
      <c r="X50" s="53">
        <f>X49/X48*1000</f>
        <v>21499.489274770174</v>
      </c>
      <c r="Y50" s="156">
        <f t="shared" si="31"/>
        <v>34.1</v>
      </c>
      <c r="Z50" s="142">
        <f>Z49/Z48*1000</f>
        <v>17193.878062221331</v>
      </c>
      <c r="AA50" s="142">
        <f>AA49/AA48*1000</f>
        <v>18984.185601946385</v>
      </c>
      <c r="AB50" s="156">
        <f t="shared" si="32"/>
        <v>10.4</v>
      </c>
      <c r="AC50" s="53">
        <f>AC49/AC48*1000</f>
        <v>15656.089594027066</v>
      </c>
      <c r="AD50" s="53">
        <f>AD49/AD48*1000</f>
        <v>17377.88705111012</v>
      </c>
      <c r="AE50" s="156">
        <f t="shared" si="33"/>
        <v>11</v>
      </c>
      <c r="AF50" s="142">
        <f>AF49/AF48*1000</f>
        <v>16922.052212644863</v>
      </c>
      <c r="AG50" s="142">
        <f>AG49/AG48*1000</f>
        <v>18621.568891280949</v>
      </c>
      <c r="AH50" s="156">
        <f t="shared" si="34"/>
        <v>10</v>
      </c>
    </row>
    <row r="51" spans="1:34" ht="22.5" customHeight="1">
      <c r="A51" s="746" t="s">
        <v>271</v>
      </c>
      <c r="B51" s="694" t="s">
        <v>569</v>
      </c>
      <c r="C51" s="159">
        <f>수입!E99</f>
        <v>16766</v>
      </c>
      <c r="D51" s="159">
        <f>수입!F99</f>
        <v>15314</v>
      </c>
      <c r="E51" s="159">
        <f>수입!G99</f>
        <v>15854</v>
      </c>
      <c r="F51" s="159">
        <f>수입!H99</f>
        <v>14083</v>
      </c>
      <c r="G51" s="501">
        <f>수입!I99</f>
        <v>14851</v>
      </c>
      <c r="H51" s="159">
        <f>수입!J99</f>
        <v>1347</v>
      </c>
      <c r="I51" s="159">
        <f>수입!K99</f>
        <v>987</v>
      </c>
      <c r="J51" s="149">
        <f t="shared" si="26"/>
        <v>-26.7</v>
      </c>
      <c r="K51" s="74">
        <f>N51-H51</f>
        <v>854</v>
      </c>
      <c r="L51" s="74">
        <f>O51-I51</f>
        <v>998</v>
      </c>
      <c r="M51" s="149">
        <f t="shared" si="27"/>
        <v>16.899999999999999</v>
      </c>
      <c r="N51" s="159">
        <f>수입!P99</f>
        <v>2201</v>
      </c>
      <c r="O51" s="159">
        <f>수입!Q99</f>
        <v>1985</v>
      </c>
      <c r="P51" s="149">
        <f t="shared" si="28"/>
        <v>-9.8000000000000007</v>
      </c>
      <c r="Q51" s="74">
        <f>T51-N51</f>
        <v>1975</v>
      </c>
      <c r="R51" s="74">
        <f>U51-O51</f>
        <v>1393</v>
      </c>
      <c r="S51" s="149">
        <f t="shared" si="29"/>
        <v>-29.5</v>
      </c>
      <c r="T51" s="159">
        <f>수입!V99</f>
        <v>4176</v>
      </c>
      <c r="U51" s="159">
        <f>수입!W99</f>
        <v>3378</v>
      </c>
      <c r="V51" s="149">
        <f t="shared" si="30"/>
        <v>-19.100000000000001</v>
      </c>
      <c r="W51" s="74">
        <f>Z51-T51</f>
        <v>1046</v>
      </c>
      <c r="X51" s="74">
        <f>AA51-U51</f>
        <v>1996</v>
      </c>
      <c r="Y51" s="149">
        <f t="shared" si="31"/>
        <v>90.8</v>
      </c>
      <c r="Z51" s="159">
        <f>수입!AB99</f>
        <v>5222</v>
      </c>
      <c r="AA51" s="159">
        <f>수입!AC99</f>
        <v>5374</v>
      </c>
      <c r="AB51" s="149">
        <f t="shared" si="32"/>
        <v>2.9</v>
      </c>
      <c r="AC51" s="74">
        <f>AF51-Z51</f>
        <v>1380</v>
      </c>
      <c r="AD51" s="74">
        <f>AG51-AA51</f>
        <v>1242</v>
      </c>
      <c r="AE51" s="149">
        <f t="shared" si="33"/>
        <v>-10</v>
      </c>
      <c r="AF51" s="159">
        <f>수입!AH99</f>
        <v>6602</v>
      </c>
      <c r="AG51" s="159">
        <f>수입!AI99</f>
        <v>6616</v>
      </c>
      <c r="AH51" s="149">
        <f t="shared" si="34"/>
        <v>0.2</v>
      </c>
    </row>
    <row r="52" spans="1:34" ht="22.5" customHeight="1">
      <c r="A52" s="744"/>
      <c r="B52" s="4" t="s">
        <v>31</v>
      </c>
      <c r="C52" s="134">
        <f>수입!E100</f>
        <v>276651</v>
      </c>
      <c r="D52" s="134">
        <f>수입!F100</f>
        <v>307166</v>
      </c>
      <c r="E52" s="134">
        <f>수입!G100</f>
        <v>328296</v>
      </c>
      <c r="F52" s="134">
        <f>수입!H100</f>
        <v>278477</v>
      </c>
      <c r="G52" s="491">
        <f>수입!I100</f>
        <v>268491</v>
      </c>
      <c r="H52" s="134">
        <f>수입!J100</f>
        <v>24057</v>
      </c>
      <c r="I52" s="134">
        <f>수입!K100</f>
        <v>20686</v>
      </c>
      <c r="J52" s="148">
        <f t="shared" si="26"/>
        <v>-14</v>
      </c>
      <c r="K52" s="133">
        <f>N52-H52</f>
        <v>16037</v>
      </c>
      <c r="L52" s="133">
        <f>O52-I52</f>
        <v>24059</v>
      </c>
      <c r="M52" s="148">
        <f t="shared" si="27"/>
        <v>50</v>
      </c>
      <c r="N52" s="134">
        <f>수입!P100</f>
        <v>40094</v>
      </c>
      <c r="O52" s="134">
        <f>수입!Q100</f>
        <v>44745</v>
      </c>
      <c r="P52" s="148">
        <f t="shared" si="28"/>
        <v>11.6</v>
      </c>
      <c r="Q52" s="133">
        <f>T52-N52</f>
        <v>34673</v>
      </c>
      <c r="R52" s="133">
        <f>U52-O52</f>
        <v>33734</v>
      </c>
      <c r="S52" s="148">
        <f t="shared" si="29"/>
        <v>-2.7</v>
      </c>
      <c r="T52" s="134">
        <f>수입!V100</f>
        <v>74767</v>
      </c>
      <c r="U52" s="134">
        <f>수입!W100</f>
        <v>78479</v>
      </c>
      <c r="V52" s="148">
        <f t="shared" si="30"/>
        <v>5</v>
      </c>
      <c r="W52" s="133">
        <f>Z52-T52</f>
        <v>17730</v>
      </c>
      <c r="X52" s="133">
        <f>AA52-U52</f>
        <v>53512</v>
      </c>
      <c r="Y52" s="148">
        <f t="shared" si="31"/>
        <v>201.8</v>
      </c>
      <c r="Z52" s="134">
        <f>수입!AB100</f>
        <v>92497</v>
      </c>
      <c r="AA52" s="134">
        <f>수입!AC100</f>
        <v>131991</v>
      </c>
      <c r="AB52" s="148">
        <f t="shared" si="32"/>
        <v>42.7</v>
      </c>
      <c r="AC52" s="133">
        <f>AF52-Z52</f>
        <v>22473</v>
      </c>
      <c r="AD52" s="133">
        <f>AG52-AA52</f>
        <v>35654</v>
      </c>
      <c r="AE52" s="148">
        <f t="shared" si="33"/>
        <v>58.7</v>
      </c>
      <c r="AF52" s="134">
        <f>수입!AH100</f>
        <v>114970</v>
      </c>
      <c r="AG52" s="134">
        <f>수입!AI100</f>
        <v>167645</v>
      </c>
      <c r="AH52" s="148">
        <f t="shared" si="34"/>
        <v>45.8</v>
      </c>
    </row>
    <row r="53" spans="1:34" ht="22.5" customHeight="1">
      <c r="A53" s="747"/>
      <c r="B53" s="6" t="s">
        <v>266</v>
      </c>
      <c r="C53" s="142">
        <f t="shared" ref="C53" si="45">C52/C51*1000</f>
        <v>16500.715734224024</v>
      </c>
      <c r="D53" s="142">
        <f t="shared" ref="D53:I53" si="46">D52/D51*1000</f>
        <v>20057.85555700666</v>
      </c>
      <c r="E53" s="142">
        <f t="shared" si="46"/>
        <v>20707.45553172701</v>
      </c>
      <c r="F53" s="142">
        <f t="shared" si="46"/>
        <v>19773.98281616133</v>
      </c>
      <c r="G53" s="496">
        <f t="shared" si="46"/>
        <v>18078.984580162953</v>
      </c>
      <c r="H53" s="142">
        <f t="shared" si="46"/>
        <v>17859.68819599109</v>
      </c>
      <c r="I53" s="142">
        <f t="shared" si="46"/>
        <v>20958.459979736574</v>
      </c>
      <c r="J53" s="156">
        <f t="shared" si="26"/>
        <v>17.399999999999999</v>
      </c>
      <c r="K53" s="53">
        <f>K52/K51*1000</f>
        <v>18778.688524590161</v>
      </c>
      <c r="L53" s="53">
        <f>L52/L51*1000</f>
        <v>24107.214428857715</v>
      </c>
      <c r="M53" s="156">
        <f t="shared" si="27"/>
        <v>28.4</v>
      </c>
      <c r="N53" s="142">
        <f>N52/N51*1000</f>
        <v>18216.265333939118</v>
      </c>
      <c r="O53" s="142">
        <f>O52/O51*1000</f>
        <v>22541.561712846349</v>
      </c>
      <c r="P53" s="156">
        <f t="shared" si="28"/>
        <v>23.7</v>
      </c>
      <c r="Q53" s="53">
        <f>Q52/Q51*1000</f>
        <v>17555.949367088608</v>
      </c>
      <c r="R53" s="53">
        <f>R52/R51*1000</f>
        <v>24216.798277099784</v>
      </c>
      <c r="S53" s="156">
        <f t="shared" si="29"/>
        <v>37.9</v>
      </c>
      <c r="T53" s="142">
        <f>T52/T51*1000</f>
        <v>17903.975095785441</v>
      </c>
      <c r="U53" s="142">
        <f>U52/U51*1000</f>
        <v>23232.38602723505</v>
      </c>
      <c r="V53" s="156">
        <f t="shared" si="30"/>
        <v>29.8</v>
      </c>
      <c r="W53" s="53">
        <f>W52/W51*1000</f>
        <v>16950.286806883367</v>
      </c>
      <c r="X53" s="53">
        <f>X52/X51*1000</f>
        <v>26809.619238476957</v>
      </c>
      <c r="Y53" s="156">
        <f t="shared" si="31"/>
        <v>58.2</v>
      </c>
      <c r="Z53" s="142">
        <f>Z52/Z51*1000</f>
        <v>17712.945231711987</v>
      </c>
      <c r="AA53" s="142">
        <f>AA52/AA51*1000</f>
        <v>24561.034611090436</v>
      </c>
      <c r="AB53" s="156">
        <f t="shared" si="32"/>
        <v>38.700000000000003</v>
      </c>
      <c r="AC53" s="53">
        <f>AC52/AC51*1000</f>
        <v>16284.782608695654</v>
      </c>
      <c r="AD53" s="53">
        <f>AD52/AD51*1000</f>
        <v>28706.92431561997</v>
      </c>
      <c r="AE53" s="156">
        <f t="shared" si="33"/>
        <v>76.3</v>
      </c>
      <c r="AF53" s="142">
        <f>AF52/AF51*1000</f>
        <v>17414.419872765829</v>
      </c>
      <c r="AG53" s="142">
        <f>AG52/AG51*1000</f>
        <v>25339.328899637243</v>
      </c>
      <c r="AH53" s="156">
        <f t="shared" si="34"/>
        <v>45.5</v>
      </c>
    </row>
    <row r="54" spans="1:34" ht="22.5" customHeight="1">
      <c r="A54" s="746" t="s">
        <v>18</v>
      </c>
      <c r="B54" s="694" t="s">
        <v>569</v>
      </c>
      <c r="C54" s="159">
        <f>수입!E102</f>
        <v>140737</v>
      </c>
      <c r="D54" s="159">
        <f>수입!F102</f>
        <v>157963</v>
      </c>
      <c r="E54" s="159">
        <f>수입!G102</f>
        <v>156574</v>
      </c>
      <c r="F54" s="159">
        <f>수입!H102</f>
        <v>153450</v>
      </c>
      <c r="G54" s="501">
        <f>수입!I102</f>
        <v>144040</v>
      </c>
      <c r="H54" s="159">
        <f>수입!J102</f>
        <v>14260</v>
      </c>
      <c r="I54" s="159">
        <f>수입!K102</f>
        <v>13512</v>
      </c>
      <c r="J54" s="149">
        <f t="shared" si="26"/>
        <v>-5.2</v>
      </c>
      <c r="K54" s="74">
        <f>N54-H54</f>
        <v>7723</v>
      </c>
      <c r="L54" s="74">
        <f>O54-I54</f>
        <v>12639</v>
      </c>
      <c r="M54" s="149">
        <f t="shared" si="27"/>
        <v>63.7</v>
      </c>
      <c r="N54" s="159">
        <f>수입!P102</f>
        <v>21983</v>
      </c>
      <c r="O54" s="159">
        <f>수입!Q102</f>
        <v>26151</v>
      </c>
      <c r="P54" s="149">
        <f t="shared" si="28"/>
        <v>19</v>
      </c>
      <c r="Q54" s="74">
        <f>T54-N54</f>
        <v>14459</v>
      </c>
      <c r="R54" s="74">
        <f>U54-O54</f>
        <v>15472</v>
      </c>
      <c r="S54" s="149">
        <f t="shared" si="29"/>
        <v>7</v>
      </c>
      <c r="T54" s="159">
        <f>수입!V102</f>
        <v>36442</v>
      </c>
      <c r="U54" s="159">
        <f>수입!W102</f>
        <v>41623</v>
      </c>
      <c r="V54" s="149">
        <f t="shared" si="30"/>
        <v>14.2</v>
      </c>
      <c r="W54" s="74">
        <f>Z54-T54</f>
        <v>13235</v>
      </c>
      <c r="X54" s="74">
        <f>AA54-U54</f>
        <v>12137</v>
      </c>
      <c r="Y54" s="149">
        <f t="shared" si="31"/>
        <v>-8.3000000000000007</v>
      </c>
      <c r="Z54" s="159">
        <f>수입!AB102</f>
        <v>49677</v>
      </c>
      <c r="AA54" s="159">
        <f>수입!AC102</f>
        <v>53760</v>
      </c>
      <c r="AB54" s="149">
        <f t="shared" si="32"/>
        <v>8.1999999999999993</v>
      </c>
      <c r="AC54" s="74">
        <f>AF54-Z54</f>
        <v>13672</v>
      </c>
      <c r="AD54" s="74">
        <f>AG54-AA54</f>
        <v>13664</v>
      </c>
      <c r="AE54" s="149">
        <f t="shared" si="33"/>
        <v>-0.1</v>
      </c>
      <c r="AF54" s="159">
        <f>수입!AH102</f>
        <v>63349</v>
      </c>
      <c r="AG54" s="159">
        <f>수입!AI102</f>
        <v>67424</v>
      </c>
      <c r="AH54" s="149">
        <f t="shared" si="34"/>
        <v>6.4</v>
      </c>
    </row>
    <row r="55" spans="1:34" ht="22.5" customHeight="1">
      <c r="A55" s="744"/>
      <c r="B55" s="4" t="s">
        <v>31</v>
      </c>
      <c r="C55" s="134">
        <f>수입!E103</f>
        <v>942708</v>
      </c>
      <c r="D55" s="134">
        <f>수입!F103</f>
        <v>1090604</v>
      </c>
      <c r="E55" s="134">
        <f>수입!G103</f>
        <v>1259894</v>
      </c>
      <c r="F55" s="134">
        <f>수입!H103</f>
        <v>1083201</v>
      </c>
      <c r="G55" s="491">
        <f>수입!I103</f>
        <v>937692</v>
      </c>
      <c r="H55" s="134">
        <f>수입!J103</f>
        <v>85090</v>
      </c>
      <c r="I55" s="134">
        <f>수입!K103</f>
        <v>77568</v>
      </c>
      <c r="J55" s="148">
        <f t="shared" si="26"/>
        <v>-8.8000000000000007</v>
      </c>
      <c r="K55" s="133">
        <f>N55-H55</f>
        <v>64025</v>
      </c>
      <c r="L55" s="133">
        <f>O55-I55</f>
        <v>84592</v>
      </c>
      <c r="M55" s="148">
        <f t="shared" si="27"/>
        <v>32.1</v>
      </c>
      <c r="N55" s="134">
        <f>수입!P103</f>
        <v>149115</v>
      </c>
      <c r="O55" s="134">
        <f>수입!Q103</f>
        <v>162160</v>
      </c>
      <c r="P55" s="148">
        <f t="shared" si="28"/>
        <v>8.6999999999999993</v>
      </c>
      <c r="Q55" s="133">
        <f>T55-N55</f>
        <v>95127</v>
      </c>
      <c r="R55" s="133">
        <f>U55-O55</f>
        <v>116587</v>
      </c>
      <c r="S55" s="148">
        <f t="shared" si="29"/>
        <v>22.6</v>
      </c>
      <c r="T55" s="134">
        <f>수입!V103</f>
        <v>244242</v>
      </c>
      <c r="U55" s="134">
        <f>수입!W103</f>
        <v>278747</v>
      </c>
      <c r="V55" s="148">
        <f t="shared" si="30"/>
        <v>14.1</v>
      </c>
      <c r="W55" s="133">
        <f>Z55-T55</f>
        <v>94409</v>
      </c>
      <c r="X55" s="133">
        <f>AA55-U55</f>
        <v>107668</v>
      </c>
      <c r="Y55" s="148">
        <f t="shared" si="31"/>
        <v>14</v>
      </c>
      <c r="Z55" s="134">
        <f>수입!AB103</f>
        <v>338651</v>
      </c>
      <c r="AA55" s="134">
        <f>수입!AC103</f>
        <v>386415</v>
      </c>
      <c r="AB55" s="148">
        <f t="shared" si="32"/>
        <v>14.1</v>
      </c>
      <c r="AC55" s="133">
        <f>AF55-Z55</f>
        <v>76448</v>
      </c>
      <c r="AD55" s="133">
        <f>AG55-AA55</f>
        <v>105136</v>
      </c>
      <c r="AE55" s="148">
        <f t="shared" si="33"/>
        <v>37.5</v>
      </c>
      <c r="AF55" s="134">
        <f>수입!AH103</f>
        <v>415099</v>
      </c>
      <c r="AG55" s="134">
        <f>수입!AI103</f>
        <v>491551</v>
      </c>
      <c r="AH55" s="148">
        <f t="shared" si="34"/>
        <v>18.399999999999999</v>
      </c>
    </row>
    <row r="56" spans="1:34" ht="22.5" customHeight="1" thickBot="1">
      <c r="A56" s="745"/>
      <c r="B56" s="141" t="s">
        <v>266</v>
      </c>
      <c r="C56" s="142">
        <f t="shared" ref="C56" si="47">C55/C54*1000</f>
        <v>6698.3664565821355</v>
      </c>
      <c r="D56" s="142">
        <f t="shared" ref="D56:I56" si="48">D55/D54*1000</f>
        <v>6904.1737622101382</v>
      </c>
      <c r="E56" s="142">
        <f t="shared" si="48"/>
        <v>8046.6360953925951</v>
      </c>
      <c r="F56" s="142">
        <f t="shared" si="48"/>
        <v>7058.9833822091887</v>
      </c>
      <c r="G56" s="496">
        <f t="shared" si="48"/>
        <v>6509.9416828658714</v>
      </c>
      <c r="H56" s="142">
        <f t="shared" si="48"/>
        <v>5967.0406732117817</v>
      </c>
      <c r="I56" s="142">
        <f t="shared" si="48"/>
        <v>5740.6749555950264</v>
      </c>
      <c r="J56" s="155">
        <f t="shared" si="26"/>
        <v>-3.8</v>
      </c>
      <c r="K56" s="53">
        <f>K55/K54*1000</f>
        <v>8290.172212870646</v>
      </c>
      <c r="L56" s="53">
        <f>L55/L54*1000</f>
        <v>6692.9345676081966</v>
      </c>
      <c r="M56" s="155">
        <f t="shared" si="27"/>
        <v>-19.3</v>
      </c>
      <c r="N56" s="142">
        <f>N55/N54*1000</f>
        <v>6783.1961060819731</v>
      </c>
      <c r="O56" s="142">
        <f>O55/O54*1000</f>
        <v>6200.9100990401894</v>
      </c>
      <c r="P56" s="155">
        <f t="shared" si="28"/>
        <v>-8.6</v>
      </c>
      <c r="Q56" s="53">
        <f>Q55/Q54*1000</f>
        <v>6579.0856905733453</v>
      </c>
      <c r="R56" s="53">
        <f>R55/R54*1000</f>
        <v>7535.3541882109612</v>
      </c>
      <c r="S56" s="155">
        <f t="shared" si="29"/>
        <v>14.5</v>
      </c>
      <c r="T56" s="142">
        <f>T55/T54*1000</f>
        <v>6702.2117337138461</v>
      </c>
      <c r="U56" s="142">
        <f>U55/U54*1000</f>
        <v>6696.9463998270194</v>
      </c>
      <c r="V56" s="155">
        <f t="shared" si="30"/>
        <v>-0.1</v>
      </c>
      <c r="W56" s="53">
        <f>W55/W54*1000</f>
        <v>7133.2829618435962</v>
      </c>
      <c r="X56" s="53">
        <f>X55/X54*1000</f>
        <v>8871.0554502760151</v>
      </c>
      <c r="Y56" s="155">
        <f t="shared" si="31"/>
        <v>24.4</v>
      </c>
      <c r="Z56" s="142">
        <f>Z55/Z54*1000</f>
        <v>6817.0581959458104</v>
      </c>
      <c r="AA56" s="142">
        <f>AA55/AA54*1000</f>
        <v>7187.7790178571431</v>
      </c>
      <c r="AB56" s="155">
        <f t="shared" si="32"/>
        <v>5.4</v>
      </c>
      <c r="AC56" s="53">
        <f>AC55/AC54*1000</f>
        <v>5591.5740198946751</v>
      </c>
      <c r="AD56" s="53">
        <f>AD55/AD54*1000</f>
        <v>7694.3793911007024</v>
      </c>
      <c r="AE56" s="155">
        <f t="shared" si="33"/>
        <v>37.6</v>
      </c>
      <c r="AF56" s="142">
        <f>AF55/AF54*1000</f>
        <v>6552.5738369982164</v>
      </c>
      <c r="AG56" s="142">
        <f>AG55/AG54*1000</f>
        <v>7290.4455386805885</v>
      </c>
      <c r="AH56" s="155">
        <f t="shared" si="34"/>
        <v>11.3</v>
      </c>
    </row>
    <row r="57" spans="1:34" ht="22.5" customHeight="1" thickTop="1">
      <c r="A57" s="740" t="s">
        <v>101</v>
      </c>
      <c r="B57" s="692" t="s">
        <v>569</v>
      </c>
      <c r="C57" s="136">
        <f t="shared" ref="C57:D58" si="49">SUM(C36+C39+C42+C45+C48+C51+C54)</f>
        <v>4141454</v>
      </c>
      <c r="D57" s="136">
        <f t="shared" si="49"/>
        <v>4225765</v>
      </c>
      <c r="E57" s="136">
        <f t="shared" ref="E57:I58" si="50">SUM(E36+E39+E42+E45+E48+E51+E54)</f>
        <v>4151220</v>
      </c>
      <c r="F57" s="136">
        <f>SUM(F36+F39+F42+F45+F48+F51+F54)</f>
        <v>4229304</v>
      </c>
      <c r="G57" s="492">
        <f>SUM(G36+G39+G42+G45+G48+G51+G54)</f>
        <v>4084154</v>
      </c>
      <c r="H57" s="136">
        <f t="shared" si="50"/>
        <v>353407</v>
      </c>
      <c r="I57" s="136">
        <f t="shared" si="50"/>
        <v>364779</v>
      </c>
      <c r="J57" s="150">
        <f t="shared" si="26"/>
        <v>3.2</v>
      </c>
      <c r="K57" s="136">
        <f>N57-H57</f>
        <v>310727</v>
      </c>
      <c r="L57" s="136">
        <f>O57-I57</f>
        <v>333880</v>
      </c>
      <c r="M57" s="150">
        <f t="shared" si="27"/>
        <v>7.5</v>
      </c>
      <c r="N57" s="136">
        <f>SUM(N36+N39+N42+N45+N48+N51+N54)</f>
        <v>664134</v>
      </c>
      <c r="O57" s="136">
        <f>SUM(O36+O39+O42+O45+O48+O51+O54)</f>
        <v>698659</v>
      </c>
      <c r="P57" s="150">
        <f t="shared" si="28"/>
        <v>5.2</v>
      </c>
      <c r="Q57" s="136">
        <f>T57-N57</f>
        <v>362097</v>
      </c>
      <c r="R57" s="136">
        <f>U57-O57</f>
        <v>431821</v>
      </c>
      <c r="S57" s="150">
        <f t="shared" si="29"/>
        <v>19.3</v>
      </c>
      <c r="T57" s="136">
        <f>SUM(T36+T39+T42+T45+T48+T51+T54)</f>
        <v>1026231</v>
      </c>
      <c r="U57" s="136">
        <f>SUM(U36+U39+U42+U45+U48+U51+U54)</f>
        <v>1130480</v>
      </c>
      <c r="V57" s="150">
        <f t="shared" si="30"/>
        <v>10.199999999999999</v>
      </c>
      <c r="W57" s="136">
        <f>Z57-T57</f>
        <v>356413</v>
      </c>
      <c r="X57" s="136">
        <f>AA57-U57</f>
        <v>409303</v>
      </c>
      <c r="Y57" s="150">
        <f t="shared" si="31"/>
        <v>14.8</v>
      </c>
      <c r="Z57" s="136">
        <f>SUM(Z36+Z39+Z42+Z45+Z48+Z51+Z54)</f>
        <v>1382644</v>
      </c>
      <c r="AA57" s="136">
        <f>SUM(AA36+AA39+AA42+AA45+AA48+AA51+AA54)</f>
        <v>1539783</v>
      </c>
      <c r="AB57" s="150">
        <f t="shared" si="32"/>
        <v>11.4</v>
      </c>
      <c r="AC57" s="136">
        <f>AF57-Z57</f>
        <v>322717</v>
      </c>
      <c r="AD57" s="136">
        <f>AG57-AA57</f>
        <v>365534</v>
      </c>
      <c r="AE57" s="150">
        <f t="shared" si="33"/>
        <v>13.3</v>
      </c>
      <c r="AF57" s="136">
        <f>SUM(AF36+AF39+AF42+AF45+AF48+AF51+AF54)</f>
        <v>1705361</v>
      </c>
      <c r="AG57" s="136">
        <f>SUM(AG36+AG39+AG42+AG45+AG48+AG51+AG54)</f>
        <v>1905317</v>
      </c>
      <c r="AH57" s="150">
        <f t="shared" si="34"/>
        <v>11.7</v>
      </c>
    </row>
    <row r="58" spans="1:34" ht="22.5" customHeight="1">
      <c r="A58" s="741"/>
      <c r="B58" s="14" t="s">
        <v>31</v>
      </c>
      <c r="C58" s="138">
        <f t="shared" si="49"/>
        <v>12930854</v>
      </c>
      <c r="D58" s="138">
        <f t="shared" si="49"/>
        <v>14915336</v>
      </c>
      <c r="E58" s="138">
        <f t="shared" si="50"/>
        <v>15959991</v>
      </c>
      <c r="F58" s="138">
        <f>SUM(F37+F40+F43+F46+F49+F52+F55)</f>
        <v>14539612</v>
      </c>
      <c r="G58" s="493">
        <f>SUM(G37+G40+G43+G46+G49+G52+G55)</f>
        <v>13467465</v>
      </c>
      <c r="H58" s="138">
        <f t="shared" si="50"/>
        <v>1171643</v>
      </c>
      <c r="I58" s="138">
        <f t="shared" si="50"/>
        <v>1400368</v>
      </c>
      <c r="J58" s="151">
        <f t="shared" si="26"/>
        <v>19.5</v>
      </c>
      <c r="K58" s="138">
        <f>N58-H58</f>
        <v>1033841</v>
      </c>
      <c r="L58" s="138">
        <f>O58-I58</f>
        <v>1347203</v>
      </c>
      <c r="M58" s="151">
        <f t="shared" si="27"/>
        <v>30.3</v>
      </c>
      <c r="N58" s="138">
        <f>SUM(N37+N40+N43+N46+N49+N52+N55)</f>
        <v>2205484</v>
      </c>
      <c r="O58" s="138">
        <f>SUM(O37+O40+O43+O46+O49+O52+O55)</f>
        <v>2747571</v>
      </c>
      <c r="P58" s="151">
        <f t="shared" si="28"/>
        <v>24.6</v>
      </c>
      <c r="Q58" s="138">
        <f>T58-N58</f>
        <v>1230749</v>
      </c>
      <c r="R58" s="138">
        <f>U58-O58</f>
        <v>1748264</v>
      </c>
      <c r="S58" s="151">
        <f t="shared" si="29"/>
        <v>42</v>
      </c>
      <c r="T58" s="138">
        <f>SUM(T37+T40+T43+T46+T49+T52+T55)</f>
        <v>3436233</v>
      </c>
      <c r="U58" s="138">
        <f>SUM(U37+U40+U43+U46+U49+U52+U55)</f>
        <v>4495835</v>
      </c>
      <c r="V58" s="151">
        <f t="shared" si="30"/>
        <v>30.8</v>
      </c>
      <c r="W58" s="138">
        <f>Z58-T58</f>
        <v>1112013</v>
      </c>
      <c r="X58" s="138">
        <f>AA58-U58</f>
        <v>1800504</v>
      </c>
      <c r="Y58" s="151">
        <f t="shared" si="31"/>
        <v>61.9</v>
      </c>
      <c r="Z58" s="138">
        <f>SUM(Z37+Z40+Z43+Z46+Z49+Z52+Z55)</f>
        <v>4548246</v>
      </c>
      <c r="AA58" s="138">
        <f>SUM(AA37+AA40+AA43+AA46+AA49+AA52+AA55)</f>
        <v>6296339</v>
      </c>
      <c r="AB58" s="151">
        <f t="shared" si="32"/>
        <v>38.4</v>
      </c>
      <c r="AC58" s="138">
        <f>AF58-Z58</f>
        <v>978691</v>
      </c>
      <c r="AD58" s="138">
        <f>AG58-AA58</f>
        <v>1652529</v>
      </c>
      <c r="AE58" s="151">
        <f t="shared" si="33"/>
        <v>68.900000000000006</v>
      </c>
      <c r="AF58" s="138">
        <f>SUM(AF37+AF40+AF43+AF46+AF49+AF52+AF55)</f>
        <v>5526937</v>
      </c>
      <c r="AG58" s="138">
        <f>SUM(AG37+AG40+AG43+AG46+AG49+AG52+AG55)</f>
        <v>7948868</v>
      </c>
      <c r="AH58" s="151">
        <f t="shared" si="34"/>
        <v>43.8</v>
      </c>
    </row>
    <row r="59" spans="1:34" ht="22.5" customHeight="1">
      <c r="A59" s="742"/>
      <c r="B59" s="143" t="s">
        <v>266</v>
      </c>
      <c r="C59" s="144">
        <f t="shared" ref="C59:I59" si="51">C58/C57*1000</f>
        <v>3122.298110760134</v>
      </c>
      <c r="D59" s="144">
        <f t="shared" si="51"/>
        <v>3529.6179508325713</v>
      </c>
      <c r="E59" s="144">
        <f t="shared" si="51"/>
        <v>3844.6507291832281</v>
      </c>
      <c r="F59" s="144">
        <f t="shared" si="51"/>
        <v>3437.8261766002161</v>
      </c>
      <c r="G59" s="497">
        <f>G58/G57*1000</f>
        <v>3297.4919652882827</v>
      </c>
      <c r="H59" s="144">
        <f t="shared" si="51"/>
        <v>3315.2795502069853</v>
      </c>
      <c r="I59" s="144">
        <f t="shared" si="51"/>
        <v>3838.9490623089596</v>
      </c>
      <c r="J59" s="157">
        <f t="shared" si="26"/>
        <v>15.8</v>
      </c>
      <c r="K59" s="139">
        <f>K58/K57*1000</f>
        <v>3327.1682216221957</v>
      </c>
      <c r="L59" s="139">
        <f>L58/L57*1000</f>
        <v>4034.9916137534442</v>
      </c>
      <c r="M59" s="157">
        <f t="shared" si="27"/>
        <v>21.3</v>
      </c>
      <c r="N59" s="144">
        <f>N58/N57*1000</f>
        <v>3320.8418782956451</v>
      </c>
      <c r="O59" s="144">
        <f>O58/O57*1000</f>
        <v>3932.6352340698395</v>
      </c>
      <c r="P59" s="157">
        <f t="shared" si="28"/>
        <v>18.399999999999999</v>
      </c>
      <c r="Q59" s="139">
        <f>Q58/Q57*1000</f>
        <v>3398.9483480945714</v>
      </c>
      <c r="R59" s="139">
        <f>R58/R57*1000</f>
        <v>4048.5849460771942</v>
      </c>
      <c r="S59" s="157">
        <f t="shared" si="29"/>
        <v>19.100000000000001</v>
      </c>
      <c r="T59" s="144">
        <f>T58/T57*1000</f>
        <v>3348.4010909824397</v>
      </c>
      <c r="U59" s="144">
        <f>U58/U57*1000</f>
        <v>3976.9257306630811</v>
      </c>
      <c r="V59" s="157">
        <f t="shared" si="30"/>
        <v>18.8</v>
      </c>
      <c r="W59" s="139">
        <f>W58/W57*1000</f>
        <v>3120.0124574580614</v>
      </c>
      <c r="X59" s="139">
        <f>X58/X57*1000</f>
        <v>4398.9513880914628</v>
      </c>
      <c r="Y59" s="157">
        <f t="shared" si="31"/>
        <v>41</v>
      </c>
      <c r="Z59" s="144">
        <f>Z58/Z57*1000</f>
        <v>3289.527890042556</v>
      </c>
      <c r="AA59" s="144">
        <f>AA58/AA57*1000</f>
        <v>4089.1080106742315</v>
      </c>
      <c r="AB59" s="157">
        <f t="shared" si="32"/>
        <v>24.3</v>
      </c>
      <c r="AC59" s="139">
        <f>AC58/AC57*1000</f>
        <v>3032.6601945357697</v>
      </c>
      <c r="AD59" s="139">
        <f>AD58/AD57*1000</f>
        <v>4520.8626283738313</v>
      </c>
      <c r="AE59" s="157">
        <f t="shared" si="33"/>
        <v>49.1</v>
      </c>
      <c r="AF59" s="144">
        <f>AF58/AF57*1000</f>
        <v>3240.9190781306716</v>
      </c>
      <c r="AG59" s="144">
        <f>AG58/AG57*1000</f>
        <v>4171.9398924168527</v>
      </c>
      <c r="AH59" s="157">
        <f t="shared" si="34"/>
        <v>28.7</v>
      </c>
    </row>
    <row r="61" spans="1:34" s="605" customFormat="1">
      <c r="H61" s="1"/>
      <c r="I61" s="1"/>
      <c r="J61" s="500"/>
      <c r="K61" s="1"/>
      <c r="L61" s="1"/>
      <c r="M61" s="500"/>
      <c r="N61" s="1"/>
      <c r="O61" s="1"/>
      <c r="P61" s="500"/>
      <c r="Q61" s="1"/>
      <c r="R61" s="1"/>
      <c r="S61" s="500"/>
      <c r="T61" s="1"/>
      <c r="U61" s="1"/>
      <c r="V61" s="500"/>
      <c r="Y61" s="500"/>
      <c r="AB61" s="500"/>
      <c r="AC61" s="1"/>
      <c r="AD61" s="1"/>
      <c r="AE61" s="500"/>
      <c r="AF61" s="1"/>
      <c r="AG61" s="1"/>
      <c r="AH61" s="500"/>
    </row>
    <row r="62" spans="1:34" s="605" customFormat="1">
      <c r="I62" s="1"/>
      <c r="J62" s="500"/>
      <c r="L62" s="1"/>
      <c r="M62" s="500"/>
      <c r="O62" s="1"/>
      <c r="P62" s="500"/>
      <c r="R62" s="1"/>
      <c r="S62" s="500"/>
      <c r="U62" s="1"/>
      <c r="V62" s="500"/>
      <c r="Y62" s="500"/>
      <c r="AB62" s="500"/>
      <c r="AD62" s="1"/>
      <c r="AE62" s="500"/>
      <c r="AG62" s="1"/>
      <c r="AH62" s="500"/>
    </row>
    <row r="63" spans="1:34">
      <c r="Q63" s="605"/>
      <c r="R63" s="605"/>
      <c r="S63" s="500"/>
      <c r="T63" s="605"/>
      <c r="U63" s="605"/>
    </row>
  </sheetData>
  <mergeCells count="52">
    <mergeCell ref="T4:V4"/>
    <mergeCell ref="A12:A14"/>
    <mergeCell ref="A15:A17"/>
    <mergeCell ref="D4:D5"/>
    <mergeCell ref="H4:J4"/>
    <mergeCell ref="A9:A11"/>
    <mergeCell ref="A6:A8"/>
    <mergeCell ref="A4:B5"/>
    <mergeCell ref="F4:F5"/>
    <mergeCell ref="C4:C5"/>
    <mergeCell ref="W34:Y34"/>
    <mergeCell ref="Z34:AB34"/>
    <mergeCell ref="F34:F35"/>
    <mergeCell ref="Z4:AB4"/>
    <mergeCell ref="AD3:AE3"/>
    <mergeCell ref="AC4:AE4"/>
    <mergeCell ref="X3:Y3"/>
    <mergeCell ref="W4:Y4"/>
    <mergeCell ref="R3:S3"/>
    <mergeCell ref="Q4:S4"/>
    <mergeCell ref="A57:A59"/>
    <mergeCell ref="A36:A38"/>
    <mergeCell ref="A39:A41"/>
    <mergeCell ref="A48:A50"/>
    <mergeCell ref="A51:A53"/>
    <mergeCell ref="A42:A44"/>
    <mergeCell ref="A45:A47"/>
    <mergeCell ref="A54:A56"/>
    <mergeCell ref="A1:AH1"/>
    <mergeCell ref="A31:AH31"/>
    <mergeCell ref="E4:E5"/>
    <mergeCell ref="L3:M3"/>
    <mergeCell ref="K4:M4"/>
    <mergeCell ref="N4:P4"/>
    <mergeCell ref="A21:A23"/>
    <mergeCell ref="A24:A26"/>
    <mergeCell ref="A27:A29"/>
    <mergeCell ref="A18:A20"/>
    <mergeCell ref="G4:G5"/>
    <mergeCell ref="G34:G35"/>
    <mergeCell ref="AF4:AH4"/>
    <mergeCell ref="H34:J34"/>
    <mergeCell ref="C34:C35"/>
    <mergeCell ref="D34:D35"/>
    <mergeCell ref="E34:E35"/>
    <mergeCell ref="Q34:S34"/>
    <mergeCell ref="A34:B35"/>
    <mergeCell ref="T34:V34"/>
    <mergeCell ref="AC34:AE34"/>
    <mergeCell ref="AF34:AH34"/>
    <mergeCell ref="K34:M34"/>
    <mergeCell ref="N34:P34"/>
  </mergeCells>
  <phoneticPr fontId="2" type="noConversion"/>
  <printOptions horizontalCentered="1"/>
  <pageMargins left="0.11811023622047245" right="0.11811023622047245" top="0.94488188976377963" bottom="0.74803149606299213" header="0.31496062992125984" footer="0.31496062992125984"/>
  <pageSetup paperSize="9" scale="90" orientation="portrait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97"/>
  <sheetViews>
    <sheetView zoomScaleNormal="100" workbookViewId="0">
      <pane xSplit="8" ySplit="5" topLeftCell="I6" activePane="bottomRight" state="frozen"/>
      <selection pane="topRight" activeCell="I1" sqref="I1"/>
      <selection pane="bottomLeft" activeCell="A6" sqref="A6"/>
      <selection pane="bottomRight"/>
    </sheetView>
  </sheetViews>
  <sheetFormatPr defaultRowHeight="16.5"/>
  <cols>
    <col min="1" max="1" width="4.875" style="88" customWidth="1"/>
    <col min="2" max="2" width="4.25" style="88" customWidth="1"/>
    <col min="3" max="3" width="18.875" style="65" customWidth="1"/>
    <col min="4" max="5" width="11.25" style="65" hidden="1" customWidth="1"/>
    <col min="6" max="7" width="11.25" style="224" hidden="1" customWidth="1"/>
    <col min="8" max="8" width="11.25" style="595" customWidth="1"/>
    <col min="9" max="9" width="11" style="623" hidden="1" customWidth="1"/>
    <col min="10" max="10" width="11" style="595" hidden="1" customWidth="1"/>
    <col min="11" max="11" width="9" hidden="1" customWidth="1"/>
    <col min="12" max="13" width="11" style="304" hidden="1" customWidth="1"/>
    <col min="14" max="14" width="9" style="277" hidden="1" customWidth="1"/>
    <col min="15" max="16" width="11" style="595" hidden="1" customWidth="1"/>
    <col min="17" max="17" width="9" style="277" hidden="1" customWidth="1"/>
    <col min="18" max="19" width="11" style="304" hidden="1" customWidth="1"/>
    <col min="20" max="20" width="9" style="277" hidden="1" customWidth="1"/>
    <col min="21" max="22" width="11" style="595" hidden="1" customWidth="1"/>
    <col min="23" max="23" width="9" style="277" hidden="1" customWidth="1"/>
    <col min="24" max="25" width="11" style="304" hidden="1" customWidth="1"/>
    <col min="26" max="26" width="9" style="277" hidden="1" customWidth="1"/>
    <col min="27" max="28" width="11" style="623" hidden="1" customWidth="1"/>
    <col min="29" max="29" width="9" style="277" hidden="1" customWidth="1"/>
    <col min="30" max="31" width="11" style="304" customWidth="1"/>
    <col min="32" max="32" width="9" style="277" customWidth="1"/>
    <col min="33" max="34" width="11" style="595" customWidth="1"/>
    <col min="35" max="35" width="9" style="277" customWidth="1"/>
  </cols>
  <sheetData>
    <row r="1" spans="1:35" ht="17.25">
      <c r="A1" s="86" t="s">
        <v>143</v>
      </c>
      <c r="B1" s="87"/>
      <c r="C1" s="80"/>
      <c r="D1" s="80"/>
      <c r="H1" s="241" t="s">
        <v>474</v>
      </c>
      <c r="I1" s="214"/>
      <c r="J1" s="524"/>
      <c r="K1" s="234"/>
      <c r="M1" s="234"/>
      <c r="N1" s="234"/>
      <c r="O1" s="524"/>
      <c r="P1" s="524"/>
      <c r="Q1" s="234"/>
      <c r="R1" s="267"/>
      <c r="S1" s="234"/>
      <c r="T1" s="234"/>
      <c r="U1" s="524"/>
      <c r="V1" s="524"/>
      <c r="W1" s="234"/>
      <c r="X1" s="267"/>
      <c r="Y1" s="234"/>
      <c r="Z1" s="234"/>
      <c r="AA1" s="214"/>
      <c r="AB1" s="214"/>
      <c r="AC1" s="234"/>
      <c r="AD1" s="267"/>
      <c r="AE1" s="234"/>
      <c r="AF1" s="234"/>
      <c r="AG1" s="524"/>
      <c r="AH1" s="524"/>
      <c r="AI1" s="234"/>
    </row>
    <row r="2" spans="1:35">
      <c r="H2" s="445" t="s">
        <v>475</v>
      </c>
      <c r="I2" s="638"/>
      <c r="J2" s="527"/>
      <c r="K2" s="238"/>
      <c r="M2" s="238"/>
      <c r="N2" s="238"/>
      <c r="O2" s="527"/>
      <c r="P2" s="527"/>
      <c r="Q2" s="238"/>
      <c r="R2" s="224"/>
      <c r="S2" s="238"/>
      <c r="T2" s="238"/>
      <c r="U2" s="527"/>
      <c r="V2" s="527"/>
      <c r="W2" s="238"/>
      <c r="X2" s="224"/>
      <c r="Y2" s="238"/>
      <c r="Z2" s="238"/>
      <c r="AA2" s="638"/>
      <c r="AB2" s="638"/>
      <c r="AC2" s="238"/>
      <c r="AD2" s="224"/>
      <c r="AE2" s="238"/>
      <c r="AF2" s="238"/>
      <c r="AG2" s="527"/>
      <c r="AH2" s="527"/>
      <c r="AI2" s="238"/>
    </row>
    <row r="3" spans="1:35">
      <c r="A3" s="60"/>
      <c r="B3" s="60"/>
      <c r="C3" s="60"/>
      <c r="D3" s="60"/>
      <c r="E3" s="60"/>
      <c r="F3" s="223"/>
      <c r="G3" s="223"/>
      <c r="H3" s="523"/>
      <c r="I3" s="639"/>
      <c r="J3" s="523"/>
      <c r="K3" s="237" t="s">
        <v>87</v>
      </c>
      <c r="L3" s="60"/>
      <c r="M3" s="60"/>
      <c r="N3" s="237"/>
      <c r="O3" s="523"/>
      <c r="P3" s="523"/>
      <c r="Q3" s="237" t="s">
        <v>87</v>
      </c>
      <c r="R3" s="60"/>
      <c r="S3" s="60"/>
      <c r="T3" s="237"/>
      <c r="U3" s="523"/>
      <c r="V3" s="523"/>
      <c r="W3" s="237" t="s">
        <v>87</v>
      </c>
      <c r="X3" s="60"/>
      <c r="Y3" s="60"/>
      <c r="Z3" s="237"/>
      <c r="AA3" s="639"/>
      <c r="AB3" s="639"/>
      <c r="AC3" s="237" t="s">
        <v>87</v>
      </c>
      <c r="AD3" s="60"/>
      <c r="AE3" s="60"/>
      <c r="AF3" s="237"/>
      <c r="AG3" s="523"/>
      <c r="AH3" s="523"/>
      <c r="AI3" s="237" t="s">
        <v>87</v>
      </c>
    </row>
    <row r="4" spans="1:35" ht="18" customHeight="1">
      <c r="A4" s="839" t="s">
        <v>88</v>
      </c>
      <c r="B4" s="839"/>
      <c r="C4" s="839"/>
      <c r="D4" s="839" t="s">
        <v>2</v>
      </c>
      <c r="E4" s="839" t="s">
        <v>3</v>
      </c>
      <c r="F4" s="839" t="s">
        <v>76</v>
      </c>
      <c r="G4" s="843" t="s">
        <v>294</v>
      </c>
      <c r="H4" s="843" t="s">
        <v>431</v>
      </c>
      <c r="I4" s="848" t="s">
        <v>33</v>
      </c>
      <c r="J4" s="839"/>
      <c r="K4" s="839"/>
      <c r="L4" s="837" t="s">
        <v>471</v>
      </c>
      <c r="M4" s="838"/>
      <c r="N4" s="839"/>
      <c r="O4" s="837" t="s">
        <v>472</v>
      </c>
      <c r="P4" s="838"/>
      <c r="Q4" s="839"/>
      <c r="R4" s="837" t="s">
        <v>477</v>
      </c>
      <c r="S4" s="838"/>
      <c r="T4" s="839"/>
      <c r="U4" s="837" t="s">
        <v>478</v>
      </c>
      <c r="V4" s="838"/>
      <c r="W4" s="839"/>
      <c r="X4" s="837" t="s">
        <v>484</v>
      </c>
      <c r="Y4" s="838"/>
      <c r="Z4" s="839"/>
      <c r="AA4" s="837" t="s">
        <v>486</v>
      </c>
      <c r="AB4" s="838"/>
      <c r="AC4" s="839"/>
      <c r="AD4" s="837" t="s">
        <v>495</v>
      </c>
      <c r="AE4" s="838"/>
      <c r="AF4" s="839"/>
      <c r="AG4" s="837" t="s">
        <v>496</v>
      </c>
      <c r="AH4" s="838"/>
      <c r="AI4" s="839"/>
    </row>
    <row r="5" spans="1:35" ht="18" customHeight="1">
      <c r="A5" s="839"/>
      <c r="B5" s="839"/>
      <c r="C5" s="839"/>
      <c r="D5" s="839"/>
      <c r="E5" s="839"/>
      <c r="F5" s="839"/>
      <c r="G5" s="849"/>
      <c r="H5" s="849"/>
      <c r="I5" s="698" t="s">
        <v>431</v>
      </c>
      <c r="J5" s="533" t="s">
        <v>503</v>
      </c>
      <c r="K5" s="531" t="s">
        <v>5</v>
      </c>
      <c r="L5" s="535" t="s">
        <v>431</v>
      </c>
      <c r="M5" s="533" t="s">
        <v>503</v>
      </c>
      <c r="N5" s="531" t="s">
        <v>5</v>
      </c>
      <c r="O5" s="535" t="s">
        <v>431</v>
      </c>
      <c r="P5" s="533" t="s">
        <v>503</v>
      </c>
      <c r="Q5" s="531" t="s">
        <v>5</v>
      </c>
      <c r="R5" s="535" t="s">
        <v>431</v>
      </c>
      <c r="S5" s="533" t="s">
        <v>503</v>
      </c>
      <c r="T5" s="531" t="s">
        <v>5</v>
      </c>
      <c r="U5" s="535" t="s">
        <v>431</v>
      </c>
      <c r="V5" s="533" t="s">
        <v>503</v>
      </c>
      <c r="W5" s="531" t="s">
        <v>5</v>
      </c>
      <c r="X5" s="535" t="s">
        <v>431</v>
      </c>
      <c r="Y5" s="533" t="s">
        <v>503</v>
      </c>
      <c r="Z5" s="531" t="s">
        <v>5</v>
      </c>
      <c r="AA5" s="698" t="s">
        <v>431</v>
      </c>
      <c r="AB5" s="697" t="s">
        <v>503</v>
      </c>
      <c r="AC5" s="531" t="s">
        <v>5</v>
      </c>
      <c r="AD5" s="535" t="s">
        <v>431</v>
      </c>
      <c r="AE5" s="533" t="s">
        <v>503</v>
      </c>
      <c r="AF5" s="531" t="s">
        <v>5</v>
      </c>
      <c r="AG5" s="535" t="s">
        <v>431</v>
      </c>
      <c r="AH5" s="533" t="s">
        <v>503</v>
      </c>
      <c r="AI5" s="531" t="s">
        <v>5</v>
      </c>
    </row>
    <row r="6" spans="1:35" ht="15" customHeight="1">
      <c r="A6" s="89"/>
      <c r="B6" s="847" t="s">
        <v>316</v>
      </c>
      <c r="C6" s="90" t="s">
        <v>147</v>
      </c>
      <c r="D6" s="91">
        <v>29166</v>
      </c>
      <c r="E6" s="91">
        <v>32589</v>
      </c>
      <c r="F6" s="62">
        <v>41070</v>
      </c>
      <c r="G6" s="62">
        <v>59350</v>
      </c>
      <c r="H6" s="62">
        <v>82111</v>
      </c>
      <c r="I6" s="633">
        <v>4142</v>
      </c>
      <c r="J6" s="584">
        <v>7266</v>
      </c>
      <c r="K6" s="235">
        <f t="shared" ref="K6:K17" si="0">ROUND(((J6/I6-1)*100), 1)</f>
        <v>75.400000000000006</v>
      </c>
      <c r="L6" s="360">
        <f t="shared" ref="L6:L8" si="1">O6-I6</f>
        <v>4641</v>
      </c>
      <c r="M6" s="360">
        <f t="shared" ref="M6:M8" si="2">P6-J6</f>
        <v>6090</v>
      </c>
      <c r="N6" s="235">
        <f t="shared" ref="N6:N8" si="3">ROUND(((M6/L6-1)*100), 1)</f>
        <v>31.2</v>
      </c>
      <c r="O6" s="588">
        <v>8783</v>
      </c>
      <c r="P6" s="588">
        <v>13356</v>
      </c>
      <c r="Q6" s="235">
        <f t="shared" ref="Q6:Q12" si="4">ROUND(((P6/O6-1)*100), 1)</f>
        <v>52.1</v>
      </c>
      <c r="R6" s="360">
        <f t="shared" ref="R6:R8" si="5">U6-O6</f>
        <v>7540</v>
      </c>
      <c r="S6" s="360">
        <f t="shared" ref="S6:S8" si="6">V6-P6</f>
        <v>6126</v>
      </c>
      <c r="T6" s="235">
        <f t="shared" ref="T6:T8" si="7">ROUND(((S6/R6-1)*100), 1)</f>
        <v>-18.8</v>
      </c>
      <c r="U6" s="709">
        <v>16323</v>
      </c>
      <c r="V6" s="584">
        <v>19482</v>
      </c>
      <c r="W6" s="235">
        <f t="shared" ref="W6:W23" si="8">ROUND(((V6/U6-1)*100), 1)</f>
        <v>19.399999999999999</v>
      </c>
      <c r="X6" s="469">
        <f t="shared" ref="X6:X19" si="9">AA6-U6</f>
        <v>7702</v>
      </c>
      <c r="Y6" s="469">
        <f t="shared" ref="Y6:Y19" si="10">AB6-V6</f>
        <v>9396</v>
      </c>
      <c r="Z6" s="235">
        <f t="shared" ref="Z6:Z15" si="11">ROUND(((Y6/X6-1)*100), 1)</f>
        <v>22</v>
      </c>
      <c r="AA6" s="718">
        <v>24025</v>
      </c>
      <c r="AB6" s="634">
        <v>28878</v>
      </c>
      <c r="AC6" s="235">
        <f t="shared" ref="AC6:AC23" si="12">ROUND(((AB6/AA6-1)*100), 1)</f>
        <v>20.2</v>
      </c>
      <c r="AD6" s="469">
        <f t="shared" ref="AD6:AD8" si="13">AG6-AA6</f>
        <v>5729</v>
      </c>
      <c r="AE6" s="469">
        <f t="shared" ref="AE6:AE8" si="14">AH6-AB6</f>
        <v>10573</v>
      </c>
      <c r="AF6" s="235">
        <f t="shared" ref="AF6:AF8" si="15">ROUND(((AE6/AD6-1)*100), 1)</f>
        <v>84.6</v>
      </c>
      <c r="AG6" s="709">
        <v>29754</v>
      </c>
      <c r="AH6" s="584">
        <v>39451</v>
      </c>
      <c r="AI6" s="235">
        <f t="shared" ref="AI6:AI23" si="16">ROUND(((AH6/AG6-1)*100), 1)</f>
        <v>32.6</v>
      </c>
    </row>
    <row r="7" spans="1:35" ht="15" customHeight="1">
      <c r="A7" s="92" t="s">
        <v>145</v>
      </c>
      <c r="B7" s="846"/>
      <c r="C7" s="75" t="s">
        <v>144</v>
      </c>
      <c r="D7" s="40">
        <v>112181</v>
      </c>
      <c r="E7" s="40">
        <v>126921</v>
      </c>
      <c r="F7" s="40">
        <v>105378</v>
      </c>
      <c r="G7" s="40">
        <v>57308</v>
      </c>
      <c r="H7" s="608">
        <v>65690</v>
      </c>
      <c r="I7" s="629">
        <v>13049</v>
      </c>
      <c r="J7" s="589">
        <v>1517</v>
      </c>
      <c r="K7" s="235">
        <f t="shared" si="0"/>
        <v>-88.4</v>
      </c>
      <c r="L7" s="359">
        <f t="shared" si="1"/>
        <v>1529</v>
      </c>
      <c r="M7" s="359">
        <f t="shared" si="2"/>
        <v>11022</v>
      </c>
      <c r="N7" s="235">
        <f t="shared" si="3"/>
        <v>620.9</v>
      </c>
      <c r="O7" s="587">
        <v>14578</v>
      </c>
      <c r="P7" s="587">
        <v>12539</v>
      </c>
      <c r="Q7" s="235">
        <f t="shared" si="4"/>
        <v>-14</v>
      </c>
      <c r="R7" s="359">
        <f t="shared" si="5"/>
        <v>6097</v>
      </c>
      <c r="S7" s="359">
        <f t="shared" si="6"/>
        <v>0</v>
      </c>
      <c r="T7" s="235">
        <f t="shared" si="7"/>
        <v>-100</v>
      </c>
      <c r="U7" s="710">
        <v>20675</v>
      </c>
      <c r="V7" s="589">
        <v>12539</v>
      </c>
      <c r="W7" s="235">
        <f t="shared" si="8"/>
        <v>-39.4</v>
      </c>
      <c r="X7" s="468">
        <f t="shared" si="9"/>
        <v>10800</v>
      </c>
      <c r="Y7" s="468">
        <f t="shared" si="10"/>
        <v>9019</v>
      </c>
      <c r="Z7" s="235">
        <f t="shared" si="11"/>
        <v>-16.5</v>
      </c>
      <c r="AA7" s="719">
        <v>31475</v>
      </c>
      <c r="AB7" s="630">
        <v>21558</v>
      </c>
      <c r="AC7" s="235">
        <f t="shared" si="12"/>
        <v>-31.5</v>
      </c>
      <c r="AD7" s="468">
        <f t="shared" si="13"/>
        <v>0</v>
      </c>
      <c r="AE7" s="468">
        <f t="shared" si="14"/>
        <v>3389</v>
      </c>
      <c r="AF7" s="579">
        <v>0</v>
      </c>
      <c r="AG7" s="710">
        <v>31475</v>
      </c>
      <c r="AH7" s="589">
        <v>24947</v>
      </c>
      <c r="AI7" s="235">
        <f t="shared" si="16"/>
        <v>-20.7</v>
      </c>
    </row>
    <row r="8" spans="1:35" ht="15" customHeight="1">
      <c r="A8" s="92"/>
      <c r="B8" s="846"/>
      <c r="C8" s="75" t="s">
        <v>146</v>
      </c>
      <c r="D8" s="40">
        <v>48058</v>
      </c>
      <c r="E8" s="40">
        <v>47203</v>
      </c>
      <c r="F8" s="40">
        <v>49007</v>
      </c>
      <c r="G8" s="40">
        <v>47216</v>
      </c>
      <c r="H8" s="608">
        <v>49435</v>
      </c>
      <c r="I8" s="629">
        <v>5153</v>
      </c>
      <c r="J8" s="589">
        <v>3566</v>
      </c>
      <c r="K8" s="235">
        <f t="shared" si="0"/>
        <v>-30.8</v>
      </c>
      <c r="L8" s="359">
        <f t="shared" si="1"/>
        <v>7868</v>
      </c>
      <c r="M8" s="359">
        <f t="shared" si="2"/>
        <v>2982</v>
      </c>
      <c r="N8" s="235">
        <f t="shared" si="3"/>
        <v>-62.1</v>
      </c>
      <c r="O8" s="587">
        <v>13021</v>
      </c>
      <c r="P8" s="587">
        <v>6548</v>
      </c>
      <c r="Q8" s="235">
        <f t="shared" si="4"/>
        <v>-49.7</v>
      </c>
      <c r="R8" s="359">
        <f t="shared" si="5"/>
        <v>5828</v>
      </c>
      <c r="S8" s="359">
        <f t="shared" si="6"/>
        <v>2243</v>
      </c>
      <c r="T8" s="235">
        <f t="shared" si="7"/>
        <v>-61.5</v>
      </c>
      <c r="U8" s="710">
        <v>18849</v>
      </c>
      <c r="V8" s="589">
        <v>8791</v>
      </c>
      <c r="W8" s="571">
        <f t="shared" si="8"/>
        <v>-53.4</v>
      </c>
      <c r="X8" s="468">
        <f t="shared" si="9"/>
        <v>683</v>
      </c>
      <c r="Y8" s="468">
        <f t="shared" si="10"/>
        <v>4330</v>
      </c>
      <c r="Z8" s="235">
        <f t="shared" si="11"/>
        <v>534</v>
      </c>
      <c r="AA8" s="719">
        <v>19532</v>
      </c>
      <c r="AB8" s="630">
        <v>13121</v>
      </c>
      <c r="AC8" s="235">
        <f t="shared" si="12"/>
        <v>-32.799999999999997</v>
      </c>
      <c r="AD8" s="468">
        <f t="shared" si="13"/>
        <v>1842</v>
      </c>
      <c r="AE8" s="468">
        <f t="shared" si="14"/>
        <v>2706</v>
      </c>
      <c r="AF8" s="235">
        <f t="shared" si="15"/>
        <v>46.9</v>
      </c>
      <c r="AG8" s="710">
        <v>21374</v>
      </c>
      <c r="AH8" s="589">
        <v>15827</v>
      </c>
      <c r="AI8" s="235">
        <f t="shared" si="16"/>
        <v>-26</v>
      </c>
    </row>
    <row r="9" spans="1:35" ht="15" customHeight="1">
      <c r="A9" s="92"/>
      <c r="B9" s="846"/>
      <c r="C9" s="75" t="s">
        <v>148</v>
      </c>
      <c r="D9" s="40">
        <v>33960</v>
      </c>
      <c r="E9" s="40">
        <v>19980</v>
      </c>
      <c r="F9" s="40">
        <v>17180</v>
      </c>
      <c r="G9" s="40">
        <v>26330</v>
      </c>
      <c r="H9" s="608">
        <v>18178</v>
      </c>
      <c r="I9" s="629">
        <v>2066</v>
      </c>
      <c r="J9" s="589">
        <v>1702</v>
      </c>
      <c r="K9" s="235">
        <f t="shared" si="0"/>
        <v>-17.600000000000001</v>
      </c>
      <c r="L9" s="587">
        <f t="shared" ref="L9:L23" si="17">O9-I9</f>
        <v>867</v>
      </c>
      <c r="M9" s="587">
        <f t="shared" ref="M9:M23" si="18">P9-J9</f>
        <v>1478</v>
      </c>
      <c r="N9" s="571">
        <f t="shared" ref="N9:N23" si="19">ROUND(((M9/L9-1)*100), 1)</f>
        <v>70.5</v>
      </c>
      <c r="O9" s="587">
        <v>2933</v>
      </c>
      <c r="P9" s="587">
        <v>3180</v>
      </c>
      <c r="Q9" s="235">
        <f t="shared" si="4"/>
        <v>8.4</v>
      </c>
      <c r="R9" s="587">
        <f t="shared" ref="R9:R23" si="20">U9-O9</f>
        <v>1017</v>
      </c>
      <c r="S9" s="587">
        <f t="shared" ref="S9:S23" si="21">V9-P9</f>
        <v>1130</v>
      </c>
      <c r="T9" s="571">
        <f t="shared" ref="T9:T23" si="22">ROUND(((S9/R9-1)*100), 1)</f>
        <v>11.1</v>
      </c>
      <c r="U9" s="710">
        <v>3950</v>
      </c>
      <c r="V9" s="589">
        <v>4310</v>
      </c>
      <c r="W9" s="571">
        <f t="shared" si="8"/>
        <v>9.1</v>
      </c>
      <c r="X9" s="468">
        <f t="shared" si="9"/>
        <v>2115</v>
      </c>
      <c r="Y9" s="468">
        <f t="shared" si="10"/>
        <v>1533</v>
      </c>
      <c r="Z9" s="235">
        <f t="shared" si="11"/>
        <v>-27.5</v>
      </c>
      <c r="AA9" s="719">
        <v>6065</v>
      </c>
      <c r="AB9" s="630">
        <v>5843</v>
      </c>
      <c r="AC9" s="235">
        <f t="shared" si="12"/>
        <v>-3.7</v>
      </c>
      <c r="AD9" s="587">
        <f t="shared" ref="AD9:AD27" si="23">AG9-AA9</f>
        <v>1863</v>
      </c>
      <c r="AE9" s="587">
        <f t="shared" ref="AE9:AE27" si="24">AH9-AB9</f>
        <v>1268</v>
      </c>
      <c r="AF9" s="571">
        <f t="shared" ref="AF9:AF18" si="25">ROUND(((AE9/AD9-1)*100), 1)</f>
        <v>-31.9</v>
      </c>
      <c r="AG9" s="710">
        <v>7928</v>
      </c>
      <c r="AH9" s="589">
        <v>7111</v>
      </c>
      <c r="AI9" s="235">
        <f t="shared" si="16"/>
        <v>-10.3</v>
      </c>
    </row>
    <row r="10" spans="1:35" ht="15" customHeight="1">
      <c r="A10" s="92"/>
      <c r="B10" s="846"/>
      <c r="C10" s="75" t="s">
        <v>152</v>
      </c>
      <c r="D10" s="40">
        <v>1301</v>
      </c>
      <c r="E10" s="40">
        <v>2524</v>
      </c>
      <c r="F10" s="40">
        <v>32095</v>
      </c>
      <c r="G10" s="40">
        <v>44368</v>
      </c>
      <c r="H10" s="608">
        <v>15617</v>
      </c>
      <c r="I10" s="629">
        <v>598</v>
      </c>
      <c r="J10" s="589">
        <v>0</v>
      </c>
      <c r="K10" s="235">
        <f t="shared" si="0"/>
        <v>-100</v>
      </c>
      <c r="L10" s="587">
        <f t="shared" si="17"/>
        <v>0</v>
      </c>
      <c r="M10" s="587">
        <f t="shared" si="18"/>
        <v>0</v>
      </c>
      <c r="N10" s="579">
        <v>0</v>
      </c>
      <c r="O10" s="587">
        <v>598</v>
      </c>
      <c r="P10" s="587">
        <v>0</v>
      </c>
      <c r="Q10" s="235">
        <f t="shared" si="4"/>
        <v>-100</v>
      </c>
      <c r="R10" s="587">
        <f t="shared" si="20"/>
        <v>0</v>
      </c>
      <c r="S10" s="587">
        <f t="shared" si="21"/>
        <v>0</v>
      </c>
      <c r="T10" s="579">
        <v>0</v>
      </c>
      <c r="U10" s="710">
        <v>598</v>
      </c>
      <c r="V10" s="589">
        <v>0</v>
      </c>
      <c r="W10" s="571">
        <f t="shared" si="8"/>
        <v>-100</v>
      </c>
      <c r="X10" s="468">
        <f t="shared" si="9"/>
        <v>0</v>
      </c>
      <c r="Y10" s="468">
        <f t="shared" si="10"/>
        <v>0</v>
      </c>
      <c r="Z10" s="579">
        <v>0</v>
      </c>
      <c r="AA10" s="719">
        <v>598</v>
      </c>
      <c r="AB10" s="630">
        <v>0</v>
      </c>
      <c r="AC10" s="571">
        <f t="shared" si="12"/>
        <v>-100</v>
      </c>
      <c r="AD10" s="587">
        <f t="shared" si="23"/>
        <v>5900</v>
      </c>
      <c r="AE10" s="587">
        <f t="shared" si="24"/>
        <v>0</v>
      </c>
      <c r="AF10" s="571">
        <f t="shared" si="25"/>
        <v>-100</v>
      </c>
      <c r="AG10" s="710">
        <v>6498</v>
      </c>
      <c r="AH10" s="589">
        <v>0</v>
      </c>
      <c r="AI10" s="235">
        <f t="shared" si="16"/>
        <v>-100</v>
      </c>
    </row>
    <row r="11" spans="1:35" ht="15" customHeight="1">
      <c r="A11" s="92"/>
      <c r="B11" s="846"/>
      <c r="C11" s="75" t="s">
        <v>51</v>
      </c>
      <c r="D11" s="40">
        <v>22293</v>
      </c>
      <c r="E11" s="40">
        <v>17667</v>
      </c>
      <c r="F11" s="40">
        <v>14798</v>
      </c>
      <c r="G11" s="40">
        <v>15669</v>
      </c>
      <c r="H11" s="608">
        <v>13954</v>
      </c>
      <c r="I11" s="629">
        <v>2184</v>
      </c>
      <c r="J11" s="589">
        <v>1140</v>
      </c>
      <c r="K11" s="235">
        <f t="shared" si="0"/>
        <v>-47.8</v>
      </c>
      <c r="L11" s="587">
        <f t="shared" si="17"/>
        <v>1165</v>
      </c>
      <c r="M11" s="587">
        <f t="shared" si="18"/>
        <v>1675</v>
      </c>
      <c r="N11" s="571">
        <f t="shared" si="19"/>
        <v>43.8</v>
      </c>
      <c r="O11" s="587">
        <v>3349</v>
      </c>
      <c r="P11" s="587">
        <v>2815</v>
      </c>
      <c r="Q11" s="235">
        <f t="shared" si="4"/>
        <v>-15.9</v>
      </c>
      <c r="R11" s="587">
        <f t="shared" si="20"/>
        <v>1930</v>
      </c>
      <c r="S11" s="587">
        <f t="shared" si="21"/>
        <v>2416</v>
      </c>
      <c r="T11" s="571">
        <f t="shared" si="22"/>
        <v>25.2</v>
      </c>
      <c r="U11" s="710">
        <v>5279</v>
      </c>
      <c r="V11" s="589">
        <v>5231</v>
      </c>
      <c r="W11" s="571">
        <f t="shared" si="8"/>
        <v>-0.9</v>
      </c>
      <c r="X11" s="468">
        <f t="shared" si="9"/>
        <v>2630</v>
      </c>
      <c r="Y11" s="468">
        <f t="shared" si="10"/>
        <v>2980</v>
      </c>
      <c r="Z11" s="235">
        <f t="shared" si="11"/>
        <v>13.3</v>
      </c>
      <c r="AA11" s="719">
        <v>7909</v>
      </c>
      <c r="AB11" s="630">
        <v>8211</v>
      </c>
      <c r="AC11" s="571">
        <f t="shared" si="12"/>
        <v>3.8</v>
      </c>
      <c r="AD11" s="587">
        <f t="shared" si="23"/>
        <v>1066</v>
      </c>
      <c r="AE11" s="587">
        <f t="shared" si="24"/>
        <v>1489</v>
      </c>
      <c r="AF11" s="571">
        <f t="shared" si="25"/>
        <v>39.700000000000003</v>
      </c>
      <c r="AG11" s="710">
        <v>8975</v>
      </c>
      <c r="AH11" s="589">
        <v>9700</v>
      </c>
      <c r="AI11" s="235">
        <f t="shared" si="16"/>
        <v>8.1</v>
      </c>
    </row>
    <row r="12" spans="1:35" ht="15" customHeight="1">
      <c r="A12" s="92"/>
      <c r="B12" s="846"/>
      <c r="C12" s="75" t="s">
        <v>149</v>
      </c>
      <c r="D12" s="40">
        <v>4107</v>
      </c>
      <c r="E12" s="40">
        <v>8843</v>
      </c>
      <c r="F12" s="40">
        <v>8921</v>
      </c>
      <c r="G12" s="40">
        <v>7835</v>
      </c>
      <c r="H12" s="608">
        <v>7438</v>
      </c>
      <c r="I12" s="629">
        <v>604</v>
      </c>
      <c r="J12" s="589">
        <v>600</v>
      </c>
      <c r="K12" s="571">
        <f t="shared" si="0"/>
        <v>-0.7</v>
      </c>
      <c r="L12" s="587">
        <f t="shared" si="17"/>
        <v>607</v>
      </c>
      <c r="M12" s="587">
        <f t="shared" si="18"/>
        <v>601</v>
      </c>
      <c r="N12" s="571">
        <f t="shared" si="19"/>
        <v>-1</v>
      </c>
      <c r="O12" s="587">
        <v>1211</v>
      </c>
      <c r="P12" s="587">
        <v>1201</v>
      </c>
      <c r="Q12" s="235">
        <f t="shared" si="4"/>
        <v>-0.8</v>
      </c>
      <c r="R12" s="587">
        <f t="shared" si="20"/>
        <v>408</v>
      </c>
      <c r="S12" s="587">
        <f t="shared" si="21"/>
        <v>200</v>
      </c>
      <c r="T12" s="571">
        <f t="shared" si="22"/>
        <v>-51</v>
      </c>
      <c r="U12" s="710">
        <v>1619</v>
      </c>
      <c r="V12" s="589">
        <v>1401</v>
      </c>
      <c r="W12" s="571">
        <f t="shared" si="8"/>
        <v>-13.5</v>
      </c>
      <c r="X12" s="468">
        <f t="shared" si="9"/>
        <v>1108</v>
      </c>
      <c r="Y12" s="468">
        <f t="shared" si="10"/>
        <v>503</v>
      </c>
      <c r="Z12" s="235">
        <f t="shared" si="11"/>
        <v>-54.6</v>
      </c>
      <c r="AA12" s="719">
        <v>2727</v>
      </c>
      <c r="AB12" s="630">
        <v>1904</v>
      </c>
      <c r="AC12" s="571">
        <f t="shared" si="12"/>
        <v>-30.2</v>
      </c>
      <c r="AD12" s="587">
        <f t="shared" si="23"/>
        <v>0</v>
      </c>
      <c r="AE12" s="587">
        <f t="shared" si="24"/>
        <v>202</v>
      </c>
      <c r="AF12" s="579">
        <v>0</v>
      </c>
      <c r="AG12" s="710">
        <v>2727</v>
      </c>
      <c r="AH12" s="589">
        <v>2106</v>
      </c>
      <c r="AI12" s="235">
        <f t="shared" si="16"/>
        <v>-22.8</v>
      </c>
    </row>
    <row r="13" spans="1:35" ht="15" customHeight="1">
      <c r="A13" s="92"/>
      <c r="B13" s="846"/>
      <c r="C13" s="75" t="s">
        <v>153</v>
      </c>
      <c r="D13" s="40">
        <v>2992</v>
      </c>
      <c r="E13" s="40">
        <v>1435</v>
      </c>
      <c r="F13" s="40">
        <v>801</v>
      </c>
      <c r="G13" s="40">
        <v>2383</v>
      </c>
      <c r="H13" s="608">
        <v>3856</v>
      </c>
      <c r="I13" s="629">
        <v>93</v>
      </c>
      <c r="J13" s="589">
        <v>0</v>
      </c>
      <c r="K13" s="571">
        <f t="shared" si="0"/>
        <v>-100</v>
      </c>
      <c r="L13" s="587">
        <f t="shared" si="17"/>
        <v>775</v>
      </c>
      <c r="M13" s="587">
        <f t="shared" si="18"/>
        <v>144</v>
      </c>
      <c r="N13" s="571">
        <f t="shared" si="19"/>
        <v>-81.400000000000006</v>
      </c>
      <c r="O13" s="587">
        <v>868</v>
      </c>
      <c r="P13" s="587">
        <v>144</v>
      </c>
      <c r="Q13" s="571">
        <f t="shared" ref="Q13:Q18" si="26">ROUND(((P13/O13-1)*100), 1)</f>
        <v>-83.4</v>
      </c>
      <c r="R13" s="587">
        <f t="shared" si="20"/>
        <v>845</v>
      </c>
      <c r="S13" s="587">
        <f t="shared" si="21"/>
        <v>248</v>
      </c>
      <c r="T13" s="571">
        <f t="shared" si="22"/>
        <v>-70.7</v>
      </c>
      <c r="U13" s="710">
        <v>1713</v>
      </c>
      <c r="V13" s="589">
        <v>392</v>
      </c>
      <c r="W13" s="571">
        <f t="shared" si="8"/>
        <v>-77.099999999999994</v>
      </c>
      <c r="X13" s="468">
        <f t="shared" si="9"/>
        <v>201</v>
      </c>
      <c r="Y13" s="468">
        <f t="shared" si="10"/>
        <v>336</v>
      </c>
      <c r="Z13" s="235">
        <f t="shared" si="11"/>
        <v>67.2</v>
      </c>
      <c r="AA13" s="719">
        <v>1914</v>
      </c>
      <c r="AB13" s="630">
        <v>728</v>
      </c>
      <c r="AC13" s="571">
        <f t="shared" si="12"/>
        <v>-62</v>
      </c>
      <c r="AD13" s="587">
        <f t="shared" si="23"/>
        <v>100</v>
      </c>
      <c r="AE13" s="587">
        <f t="shared" si="24"/>
        <v>50</v>
      </c>
      <c r="AF13" s="571">
        <f t="shared" si="25"/>
        <v>-50</v>
      </c>
      <c r="AG13" s="710">
        <v>2014</v>
      </c>
      <c r="AH13" s="589">
        <v>778</v>
      </c>
      <c r="AI13" s="235">
        <f t="shared" si="16"/>
        <v>-61.4</v>
      </c>
    </row>
    <row r="14" spans="1:35" ht="15" customHeight="1">
      <c r="A14" s="92"/>
      <c r="B14" s="846"/>
      <c r="C14" s="75" t="s">
        <v>150</v>
      </c>
      <c r="D14" s="40">
        <v>6003</v>
      </c>
      <c r="E14" s="40">
        <v>4973</v>
      </c>
      <c r="F14" s="40">
        <v>6496</v>
      </c>
      <c r="G14" s="40">
        <v>5865</v>
      </c>
      <c r="H14" s="608">
        <v>2472</v>
      </c>
      <c r="I14" s="629">
        <v>400</v>
      </c>
      <c r="J14" s="589">
        <v>40</v>
      </c>
      <c r="K14" s="571">
        <f t="shared" si="0"/>
        <v>-90</v>
      </c>
      <c r="L14" s="587">
        <f t="shared" si="17"/>
        <v>305</v>
      </c>
      <c r="M14" s="587">
        <f t="shared" si="18"/>
        <v>317</v>
      </c>
      <c r="N14" s="571">
        <f t="shared" si="19"/>
        <v>3.9</v>
      </c>
      <c r="O14" s="587">
        <v>705</v>
      </c>
      <c r="P14" s="587">
        <v>357</v>
      </c>
      <c r="Q14" s="571">
        <f t="shared" si="26"/>
        <v>-49.4</v>
      </c>
      <c r="R14" s="587">
        <f t="shared" si="20"/>
        <v>111</v>
      </c>
      <c r="S14" s="587">
        <f t="shared" si="21"/>
        <v>369</v>
      </c>
      <c r="T14" s="571">
        <f t="shared" si="22"/>
        <v>232.4</v>
      </c>
      <c r="U14" s="710">
        <v>816</v>
      </c>
      <c r="V14" s="589">
        <v>726</v>
      </c>
      <c r="W14" s="571">
        <f t="shared" si="8"/>
        <v>-11</v>
      </c>
      <c r="X14" s="468">
        <f t="shared" si="9"/>
        <v>191</v>
      </c>
      <c r="Y14" s="468">
        <f t="shared" si="10"/>
        <v>389</v>
      </c>
      <c r="Z14" s="235">
        <f t="shared" si="11"/>
        <v>103.7</v>
      </c>
      <c r="AA14" s="719">
        <v>1007</v>
      </c>
      <c r="AB14" s="630">
        <v>1115</v>
      </c>
      <c r="AC14" s="571">
        <f t="shared" si="12"/>
        <v>10.7</v>
      </c>
      <c r="AD14" s="587">
        <f t="shared" si="23"/>
        <v>100</v>
      </c>
      <c r="AE14" s="587">
        <f t="shared" si="24"/>
        <v>223</v>
      </c>
      <c r="AF14" s="571">
        <f t="shared" si="25"/>
        <v>123</v>
      </c>
      <c r="AG14" s="710">
        <v>1107</v>
      </c>
      <c r="AH14" s="589">
        <v>1338</v>
      </c>
      <c r="AI14" s="235">
        <f t="shared" si="16"/>
        <v>20.9</v>
      </c>
    </row>
    <row r="15" spans="1:35" ht="15" customHeight="1">
      <c r="A15" s="92"/>
      <c r="B15" s="846"/>
      <c r="C15" s="75" t="s">
        <v>82</v>
      </c>
      <c r="D15" s="40">
        <v>194</v>
      </c>
      <c r="E15" s="40">
        <v>276</v>
      </c>
      <c r="F15" s="40">
        <v>1455</v>
      </c>
      <c r="G15" s="40">
        <v>1080</v>
      </c>
      <c r="H15" s="608">
        <v>1005</v>
      </c>
      <c r="I15" s="629">
        <v>102</v>
      </c>
      <c r="J15" s="589">
        <v>100</v>
      </c>
      <c r="K15" s="571">
        <f t="shared" si="0"/>
        <v>-2</v>
      </c>
      <c r="L15" s="587">
        <f t="shared" si="17"/>
        <v>101</v>
      </c>
      <c r="M15" s="587">
        <f t="shared" si="18"/>
        <v>0</v>
      </c>
      <c r="N15" s="571">
        <f t="shared" si="19"/>
        <v>-100</v>
      </c>
      <c r="O15" s="587">
        <v>203</v>
      </c>
      <c r="P15" s="587">
        <v>100</v>
      </c>
      <c r="Q15" s="235">
        <f t="shared" si="26"/>
        <v>-50.7</v>
      </c>
      <c r="R15" s="587">
        <f t="shared" si="20"/>
        <v>100</v>
      </c>
      <c r="S15" s="587">
        <f t="shared" si="21"/>
        <v>100</v>
      </c>
      <c r="T15" s="571">
        <f t="shared" si="22"/>
        <v>0</v>
      </c>
      <c r="U15" s="710">
        <v>303</v>
      </c>
      <c r="V15" s="589">
        <v>200</v>
      </c>
      <c r="W15" s="571">
        <f t="shared" si="8"/>
        <v>-34</v>
      </c>
      <c r="X15" s="468">
        <f t="shared" si="9"/>
        <v>100</v>
      </c>
      <c r="Y15" s="468">
        <f t="shared" si="10"/>
        <v>174</v>
      </c>
      <c r="Z15" s="235">
        <f t="shared" si="11"/>
        <v>74</v>
      </c>
      <c r="AA15" s="719">
        <v>403</v>
      </c>
      <c r="AB15" s="630">
        <v>374</v>
      </c>
      <c r="AC15" s="571">
        <f t="shared" si="12"/>
        <v>-7.2</v>
      </c>
      <c r="AD15" s="587">
        <f t="shared" si="23"/>
        <v>100</v>
      </c>
      <c r="AE15" s="587">
        <f t="shared" si="24"/>
        <v>101</v>
      </c>
      <c r="AF15" s="571">
        <f t="shared" si="25"/>
        <v>1</v>
      </c>
      <c r="AG15" s="710">
        <v>503</v>
      </c>
      <c r="AH15" s="589">
        <v>475</v>
      </c>
      <c r="AI15" s="235">
        <f t="shared" si="16"/>
        <v>-5.6</v>
      </c>
    </row>
    <row r="16" spans="1:35" ht="15" customHeight="1">
      <c r="A16" s="92"/>
      <c r="B16" s="846"/>
      <c r="C16" s="75" t="s">
        <v>151</v>
      </c>
      <c r="D16" s="40">
        <v>10838</v>
      </c>
      <c r="E16" s="40">
        <v>4387</v>
      </c>
      <c r="F16" s="40">
        <v>4907</v>
      </c>
      <c r="G16" s="40">
        <v>2329</v>
      </c>
      <c r="H16" s="608">
        <v>876</v>
      </c>
      <c r="I16" s="629">
        <v>0</v>
      </c>
      <c r="J16" s="589">
        <v>0</v>
      </c>
      <c r="K16" s="579">
        <v>0</v>
      </c>
      <c r="L16" s="587">
        <f t="shared" si="17"/>
        <v>174</v>
      </c>
      <c r="M16" s="587">
        <f t="shared" si="18"/>
        <v>0</v>
      </c>
      <c r="N16" s="571">
        <f t="shared" si="19"/>
        <v>-100</v>
      </c>
      <c r="O16" s="587">
        <v>174</v>
      </c>
      <c r="P16" s="587">
        <v>0</v>
      </c>
      <c r="Q16" s="235">
        <f t="shared" si="26"/>
        <v>-100</v>
      </c>
      <c r="R16" s="587">
        <f t="shared" si="20"/>
        <v>175</v>
      </c>
      <c r="S16" s="587">
        <f t="shared" si="21"/>
        <v>0</v>
      </c>
      <c r="T16" s="571">
        <f t="shared" si="22"/>
        <v>-100</v>
      </c>
      <c r="U16" s="710">
        <v>349</v>
      </c>
      <c r="V16" s="589">
        <v>0</v>
      </c>
      <c r="W16" s="571">
        <f t="shared" si="8"/>
        <v>-100</v>
      </c>
      <c r="X16" s="468">
        <f t="shared" si="9"/>
        <v>0</v>
      </c>
      <c r="Y16" s="468">
        <f t="shared" si="10"/>
        <v>0</v>
      </c>
      <c r="Z16" s="579">
        <v>0</v>
      </c>
      <c r="AA16" s="719">
        <v>349</v>
      </c>
      <c r="AB16" s="630">
        <v>0</v>
      </c>
      <c r="AC16" s="571">
        <f t="shared" si="12"/>
        <v>-100</v>
      </c>
      <c r="AD16" s="587">
        <f t="shared" si="23"/>
        <v>175</v>
      </c>
      <c r="AE16" s="587">
        <f t="shared" si="24"/>
        <v>0</v>
      </c>
      <c r="AF16" s="571">
        <f t="shared" si="25"/>
        <v>-100</v>
      </c>
      <c r="AG16" s="710">
        <v>524</v>
      </c>
      <c r="AH16" s="589">
        <v>0</v>
      </c>
      <c r="AI16" s="235">
        <f t="shared" si="16"/>
        <v>-100</v>
      </c>
    </row>
    <row r="17" spans="1:35" ht="15" customHeight="1">
      <c r="A17" s="92"/>
      <c r="B17" s="846"/>
      <c r="C17" s="75" t="s">
        <v>157</v>
      </c>
      <c r="D17" s="40">
        <v>1734</v>
      </c>
      <c r="E17" s="40">
        <v>637</v>
      </c>
      <c r="F17" s="40">
        <v>587</v>
      </c>
      <c r="G17" s="40">
        <v>270</v>
      </c>
      <c r="H17" s="608">
        <v>814</v>
      </c>
      <c r="I17" s="629">
        <v>46</v>
      </c>
      <c r="J17" s="589">
        <v>0</v>
      </c>
      <c r="K17" s="571">
        <f t="shared" si="0"/>
        <v>-100</v>
      </c>
      <c r="L17" s="587">
        <f t="shared" si="17"/>
        <v>0</v>
      </c>
      <c r="M17" s="587">
        <f t="shared" si="18"/>
        <v>40</v>
      </c>
      <c r="N17" s="579">
        <v>0</v>
      </c>
      <c r="O17" s="587">
        <v>46</v>
      </c>
      <c r="P17" s="587">
        <v>40</v>
      </c>
      <c r="Q17" s="571">
        <f t="shared" si="26"/>
        <v>-13</v>
      </c>
      <c r="R17" s="587">
        <f t="shared" si="20"/>
        <v>0</v>
      </c>
      <c r="S17" s="587">
        <f t="shared" si="21"/>
        <v>0</v>
      </c>
      <c r="T17" s="579">
        <v>0</v>
      </c>
      <c r="U17" s="710">
        <v>46</v>
      </c>
      <c r="V17" s="589">
        <v>40</v>
      </c>
      <c r="W17" s="571">
        <f t="shared" si="8"/>
        <v>-13</v>
      </c>
      <c r="X17" s="468">
        <f t="shared" si="9"/>
        <v>0</v>
      </c>
      <c r="Y17" s="468">
        <f t="shared" si="10"/>
        <v>0</v>
      </c>
      <c r="Z17" s="462">
        <v>0</v>
      </c>
      <c r="AA17" s="719">
        <v>46</v>
      </c>
      <c r="AB17" s="630">
        <v>40</v>
      </c>
      <c r="AC17" s="571">
        <f t="shared" si="12"/>
        <v>-13</v>
      </c>
      <c r="AD17" s="587">
        <f t="shared" si="23"/>
        <v>20</v>
      </c>
      <c r="AE17" s="587">
        <f t="shared" si="24"/>
        <v>0</v>
      </c>
      <c r="AF17" s="571">
        <f t="shared" si="25"/>
        <v>-100</v>
      </c>
      <c r="AG17" s="710">
        <v>66</v>
      </c>
      <c r="AH17" s="589">
        <v>40</v>
      </c>
      <c r="AI17" s="235">
        <f t="shared" si="16"/>
        <v>-39.4</v>
      </c>
    </row>
    <row r="18" spans="1:35" s="277" customFormat="1" ht="15" customHeight="1">
      <c r="A18" s="397"/>
      <c r="B18" s="846"/>
      <c r="C18" s="75" t="s">
        <v>159</v>
      </c>
      <c r="D18" s="40">
        <v>400</v>
      </c>
      <c r="E18" s="40">
        <v>448</v>
      </c>
      <c r="F18" s="40">
        <v>250</v>
      </c>
      <c r="G18" s="40">
        <v>300</v>
      </c>
      <c r="H18" s="608">
        <v>583</v>
      </c>
      <c r="I18" s="629">
        <v>0</v>
      </c>
      <c r="J18" s="589">
        <v>0</v>
      </c>
      <c r="K18" s="171">
        <v>0</v>
      </c>
      <c r="L18" s="587">
        <f t="shared" si="17"/>
        <v>41</v>
      </c>
      <c r="M18" s="587">
        <f t="shared" si="18"/>
        <v>41</v>
      </c>
      <c r="N18" s="571">
        <f t="shared" si="19"/>
        <v>0</v>
      </c>
      <c r="O18" s="587">
        <v>41</v>
      </c>
      <c r="P18" s="587">
        <v>41</v>
      </c>
      <c r="Q18" s="571">
        <f t="shared" si="26"/>
        <v>0</v>
      </c>
      <c r="R18" s="587">
        <f t="shared" si="20"/>
        <v>100</v>
      </c>
      <c r="S18" s="587">
        <f t="shared" si="21"/>
        <v>100</v>
      </c>
      <c r="T18" s="571">
        <f t="shared" si="22"/>
        <v>0</v>
      </c>
      <c r="U18" s="710">
        <v>141</v>
      </c>
      <c r="V18" s="589">
        <v>141</v>
      </c>
      <c r="W18" s="571">
        <f t="shared" si="8"/>
        <v>0</v>
      </c>
      <c r="X18" s="468">
        <f t="shared" si="9"/>
        <v>0</v>
      </c>
      <c r="Y18" s="468">
        <f t="shared" si="10"/>
        <v>0</v>
      </c>
      <c r="Z18" s="462">
        <v>0</v>
      </c>
      <c r="AA18" s="719">
        <v>141</v>
      </c>
      <c r="AB18" s="630">
        <v>141</v>
      </c>
      <c r="AC18" s="571">
        <f t="shared" si="12"/>
        <v>0</v>
      </c>
      <c r="AD18" s="587">
        <f t="shared" si="23"/>
        <v>101</v>
      </c>
      <c r="AE18" s="587">
        <f t="shared" si="24"/>
        <v>0</v>
      </c>
      <c r="AF18" s="571">
        <f t="shared" si="25"/>
        <v>-100</v>
      </c>
      <c r="AG18" s="710">
        <v>242</v>
      </c>
      <c r="AH18" s="589">
        <v>141</v>
      </c>
      <c r="AI18" s="571">
        <f t="shared" si="16"/>
        <v>-41.7</v>
      </c>
    </row>
    <row r="19" spans="1:35" ht="15" customHeight="1">
      <c r="A19" s="92"/>
      <c r="B19" s="846"/>
      <c r="C19" s="75" t="s">
        <v>156</v>
      </c>
      <c r="D19" s="40">
        <v>26023</v>
      </c>
      <c r="E19" s="40">
        <v>788</v>
      </c>
      <c r="F19" s="40">
        <v>0</v>
      </c>
      <c r="G19" s="40">
        <v>0</v>
      </c>
      <c r="H19" s="608">
        <v>293</v>
      </c>
      <c r="I19" s="629">
        <v>0</v>
      </c>
      <c r="J19" s="589">
        <v>0</v>
      </c>
      <c r="K19" s="171">
        <v>0</v>
      </c>
      <c r="L19" s="587">
        <f t="shared" si="17"/>
        <v>0</v>
      </c>
      <c r="M19" s="587">
        <f t="shared" si="18"/>
        <v>0</v>
      </c>
      <c r="N19" s="579">
        <v>0</v>
      </c>
      <c r="O19" s="587">
        <v>0</v>
      </c>
      <c r="P19" s="587">
        <v>0</v>
      </c>
      <c r="Q19" s="579">
        <v>0</v>
      </c>
      <c r="R19" s="587">
        <f t="shared" si="20"/>
        <v>0</v>
      </c>
      <c r="S19" s="587">
        <f t="shared" si="21"/>
        <v>0</v>
      </c>
      <c r="T19" s="579">
        <v>0</v>
      </c>
      <c r="U19" s="710">
        <v>0</v>
      </c>
      <c r="V19" s="589">
        <v>0</v>
      </c>
      <c r="W19" s="579">
        <v>0</v>
      </c>
      <c r="X19" s="468">
        <f t="shared" si="9"/>
        <v>293</v>
      </c>
      <c r="Y19" s="468">
        <f t="shared" si="10"/>
        <v>0</v>
      </c>
      <c r="Z19" s="571">
        <f t="shared" ref="Z19" si="27">ROUND(((Y19/X19-1)*100), 1)</f>
        <v>-100</v>
      </c>
      <c r="AA19" s="719">
        <v>293</v>
      </c>
      <c r="AB19" s="630">
        <v>0</v>
      </c>
      <c r="AC19" s="571">
        <f t="shared" si="12"/>
        <v>-100</v>
      </c>
      <c r="AD19" s="587">
        <f t="shared" si="23"/>
        <v>0</v>
      </c>
      <c r="AE19" s="587">
        <f t="shared" si="24"/>
        <v>0</v>
      </c>
      <c r="AF19" s="579">
        <v>0</v>
      </c>
      <c r="AG19" s="710">
        <v>293</v>
      </c>
      <c r="AH19" s="589">
        <v>0</v>
      </c>
      <c r="AI19" s="571">
        <f t="shared" si="16"/>
        <v>-100</v>
      </c>
    </row>
    <row r="20" spans="1:35" s="605" customFormat="1" ht="15" customHeight="1">
      <c r="A20" s="676"/>
      <c r="B20" s="846"/>
      <c r="C20" s="75" t="s">
        <v>517</v>
      </c>
      <c r="D20" s="608">
        <v>0</v>
      </c>
      <c r="E20" s="608">
        <v>0</v>
      </c>
      <c r="F20" s="608">
        <v>0</v>
      </c>
      <c r="G20" s="608">
        <v>0</v>
      </c>
      <c r="H20" s="608">
        <v>150</v>
      </c>
      <c r="I20" s="629">
        <v>0</v>
      </c>
      <c r="J20" s="589">
        <v>0</v>
      </c>
      <c r="K20" s="579">
        <v>0</v>
      </c>
      <c r="L20" s="587">
        <f t="shared" si="17"/>
        <v>0</v>
      </c>
      <c r="M20" s="587">
        <f t="shared" si="18"/>
        <v>0</v>
      </c>
      <c r="N20" s="579">
        <v>0</v>
      </c>
      <c r="O20" s="587">
        <v>0</v>
      </c>
      <c r="P20" s="587">
        <v>0</v>
      </c>
      <c r="Q20" s="579">
        <v>0</v>
      </c>
      <c r="R20" s="587">
        <f t="shared" si="20"/>
        <v>150</v>
      </c>
      <c r="S20" s="587">
        <f t="shared" si="21"/>
        <v>0</v>
      </c>
      <c r="T20" s="571">
        <f t="shared" si="22"/>
        <v>-100</v>
      </c>
      <c r="U20" s="710">
        <v>150</v>
      </c>
      <c r="V20" s="589">
        <v>0</v>
      </c>
      <c r="W20" s="571">
        <f t="shared" si="8"/>
        <v>-100</v>
      </c>
      <c r="X20" s="587">
        <f t="shared" ref="X20:X22" si="28">AA20-U20</f>
        <v>0</v>
      </c>
      <c r="Y20" s="587">
        <f t="shared" ref="Y20:Y22" si="29">AB20-V20</f>
        <v>0</v>
      </c>
      <c r="Z20" s="579">
        <v>0</v>
      </c>
      <c r="AA20" s="719">
        <v>150</v>
      </c>
      <c r="AB20" s="630">
        <v>0</v>
      </c>
      <c r="AC20" s="571">
        <f t="shared" si="12"/>
        <v>-100</v>
      </c>
      <c r="AD20" s="587">
        <f t="shared" si="23"/>
        <v>0</v>
      </c>
      <c r="AE20" s="587">
        <f t="shared" si="24"/>
        <v>0</v>
      </c>
      <c r="AF20" s="579">
        <v>0</v>
      </c>
      <c r="AG20" s="710">
        <v>150</v>
      </c>
      <c r="AH20" s="589">
        <v>0</v>
      </c>
      <c r="AI20" s="571">
        <f t="shared" si="16"/>
        <v>-100</v>
      </c>
    </row>
    <row r="21" spans="1:35" ht="15" customHeight="1">
      <c r="A21" s="92"/>
      <c r="B21" s="846"/>
      <c r="C21" s="75" t="s">
        <v>438</v>
      </c>
      <c r="D21" s="40">
        <v>146</v>
      </c>
      <c r="E21" s="40">
        <v>171</v>
      </c>
      <c r="F21" s="40">
        <v>25</v>
      </c>
      <c r="G21" s="40">
        <v>270</v>
      </c>
      <c r="H21" s="608">
        <v>97</v>
      </c>
      <c r="I21" s="629">
        <v>0</v>
      </c>
      <c r="J21" s="589">
        <v>0</v>
      </c>
      <c r="K21" s="579">
        <v>0</v>
      </c>
      <c r="L21" s="587">
        <f t="shared" si="17"/>
        <v>0</v>
      </c>
      <c r="M21" s="587">
        <f t="shared" si="18"/>
        <v>0</v>
      </c>
      <c r="N21" s="579">
        <v>0</v>
      </c>
      <c r="O21" s="587">
        <v>0</v>
      </c>
      <c r="P21" s="587">
        <v>0</v>
      </c>
      <c r="Q21" s="579">
        <v>0</v>
      </c>
      <c r="R21" s="587">
        <f t="shared" si="20"/>
        <v>97</v>
      </c>
      <c r="S21" s="587">
        <f t="shared" si="21"/>
        <v>0</v>
      </c>
      <c r="T21" s="571">
        <f t="shared" si="22"/>
        <v>-100</v>
      </c>
      <c r="U21" s="710">
        <v>97</v>
      </c>
      <c r="V21" s="589">
        <v>0</v>
      </c>
      <c r="W21" s="571">
        <f t="shared" si="8"/>
        <v>-100</v>
      </c>
      <c r="X21" s="587">
        <f t="shared" si="28"/>
        <v>0</v>
      </c>
      <c r="Y21" s="587">
        <f t="shared" si="29"/>
        <v>0</v>
      </c>
      <c r="Z21" s="579">
        <v>0</v>
      </c>
      <c r="AA21" s="719">
        <v>97</v>
      </c>
      <c r="AB21" s="630">
        <v>0</v>
      </c>
      <c r="AC21" s="571">
        <f t="shared" si="12"/>
        <v>-100</v>
      </c>
      <c r="AD21" s="587">
        <f t="shared" si="23"/>
        <v>0</v>
      </c>
      <c r="AE21" s="587">
        <f t="shared" si="24"/>
        <v>0</v>
      </c>
      <c r="AF21" s="579">
        <v>0</v>
      </c>
      <c r="AG21" s="710">
        <v>97</v>
      </c>
      <c r="AH21" s="589">
        <v>0</v>
      </c>
      <c r="AI21" s="571">
        <f t="shared" si="16"/>
        <v>-100</v>
      </c>
    </row>
    <row r="22" spans="1:35" ht="15" customHeight="1">
      <c r="A22" s="92"/>
      <c r="B22" s="846"/>
      <c r="C22" s="75" t="s">
        <v>154</v>
      </c>
      <c r="D22" s="40">
        <v>256</v>
      </c>
      <c r="E22" s="40">
        <v>1190</v>
      </c>
      <c r="F22" s="40">
        <v>2889</v>
      </c>
      <c r="G22" s="40">
        <v>0</v>
      </c>
      <c r="H22" s="608">
        <v>48</v>
      </c>
      <c r="I22" s="629">
        <v>0</v>
      </c>
      <c r="J22" s="589">
        <v>171</v>
      </c>
      <c r="K22" s="579">
        <v>0</v>
      </c>
      <c r="L22" s="587">
        <f t="shared" si="17"/>
        <v>0</v>
      </c>
      <c r="M22" s="587">
        <f t="shared" si="18"/>
        <v>0</v>
      </c>
      <c r="N22" s="579">
        <v>0</v>
      </c>
      <c r="O22" s="587">
        <v>0</v>
      </c>
      <c r="P22" s="587">
        <v>171</v>
      </c>
      <c r="Q22" s="579">
        <v>0</v>
      </c>
      <c r="R22" s="587">
        <f t="shared" si="20"/>
        <v>0</v>
      </c>
      <c r="S22" s="587">
        <f t="shared" si="21"/>
        <v>0</v>
      </c>
      <c r="T22" s="579">
        <v>0</v>
      </c>
      <c r="U22" s="710">
        <v>0</v>
      </c>
      <c r="V22" s="589">
        <v>171</v>
      </c>
      <c r="W22" s="579">
        <v>0</v>
      </c>
      <c r="X22" s="587">
        <f t="shared" si="28"/>
        <v>0</v>
      </c>
      <c r="Y22" s="587">
        <f t="shared" si="29"/>
        <v>0</v>
      </c>
      <c r="Z22" s="579">
        <v>0</v>
      </c>
      <c r="AA22" s="719">
        <v>0</v>
      </c>
      <c r="AB22" s="630">
        <v>171</v>
      </c>
      <c r="AC22" s="579">
        <v>0</v>
      </c>
      <c r="AD22" s="587">
        <f t="shared" si="23"/>
        <v>0</v>
      </c>
      <c r="AE22" s="587">
        <f t="shared" si="24"/>
        <v>0</v>
      </c>
      <c r="AF22" s="579">
        <v>0</v>
      </c>
      <c r="AG22" s="710">
        <v>0</v>
      </c>
      <c r="AH22" s="589">
        <v>171</v>
      </c>
      <c r="AI22" s="462">
        <v>0</v>
      </c>
    </row>
    <row r="23" spans="1:35" ht="15" customHeight="1">
      <c r="A23" s="92"/>
      <c r="B23" s="846"/>
      <c r="C23" s="75" t="s">
        <v>160</v>
      </c>
      <c r="D23" s="40">
        <v>3286</v>
      </c>
      <c r="E23" s="40">
        <v>400</v>
      </c>
      <c r="F23" s="40">
        <v>305</v>
      </c>
      <c r="G23" s="40">
        <v>2</v>
      </c>
      <c r="H23" s="608">
        <v>21</v>
      </c>
      <c r="I23" s="629">
        <v>0</v>
      </c>
      <c r="J23" s="589">
        <v>0</v>
      </c>
      <c r="K23" s="579">
        <v>0</v>
      </c>
      <c r="L23" s="587">
        <f t="shared" si="17"/>
        <v>6</v>
      </c>
      <c r="M23" s="587">
        <f t="shared" si="18"/>
        <v>0</v>
      </c>
      <c r="N23" s="571">
        <f t="shared" si="19"/>
        <v>-100</v>
      </c>
      <c r="O23" s="587">
        <v>6</v>
      </c>
      <c r="P23" s="587">
        <v>0</v>
      </c>
      <c r="Q23" s="571">
        <f>ROUND(((P23/O23-1)*100), 1)</f>
        <v>-100</v>
      </c>
      <c r="R23" s="587">
        <f t="shared" si="20"/>
        <v>10</v>
      </c>
      <c r="S23" s="587">
        <f t="shared" si="21"/>
        <v>0</v>
      </c>
      <c r="T23" s="571">
        <f t="shared" si="22"/>
        <v>-100</v>
      </c>
      <c r="U23" s="710">
        <v>16</v>
      </c>
      <c r="V23" s="589">
        <v>0</v>
      </c>
      <c r="W23" s="571">
        <f t="shared" si="8"/>
        <v>-100</v>
      </c>
      <c r="X23" s="468">
        <f t="shared" ref="X23:Y28" si="30">AA23-U23</f>
        <v>0</v>
      </c>
      <c r="Y23" s="468">
        <f t="shared" si="30"/>
        <v>0</v>
      </c>
      <c r="Z23" s="579">
        <v>0</v>
      </c>
      <c r="AA23" s="719">
        <v>16</v>
      </c>
      <c r="AB23" s="630">
        <v>0</v>
      </c>
      <c r="AC23" s="571">
        <f t="shared" si="12"/>
        <v>-100</v>
      </c>
      <c r="AD23" s="587">
        <f t="shared" si="23"/>
        <v>0</v>
      </c>
      <c r="AE23" s="587">
        <f t="shared" si="24"/>
        <v>0</v>
      </c>
      <c r="AF23" s="579">
        <v>0</v>
      </c>
      <c r="AG23" s="710">
        <v>16</v>
      </c>
      <c r="AH23" s="589">
        <v>0</v>
      </c>
      <c r="AI23" s="571">
        <f t="shared" si="16"/>
        <v>-100</v>
      </c>
    </row>
    <row r="24" spans="1:35" ht="15" customHeight="1">
      <c r="A24" s="92"/>
      <c r="B24" s="846"/>
      <c r="C24" s="75" t="s">
        <v>161</v>
      </c>
      <c r="D24" s="40">
        <v>289</v>
      </c>
      <c r="E24" s="40">
        <v>206</v>
      </c>
      <c r="F24" s="40">
        <v>355</v>
      </c>
      <c r="G24" s="40">
        <v>0</v>
      </c>
      <c r="H24" s="608">
        <v>0</v>
      </c>
      <c r="I24" s="629">
        <v>0</v>
      </c>
      <c r="J24" s="589">
        <v>0</v>
      </c>
      <c r="K24" s="171">
        <v>0</v>
      </c>
      <c r="L24" s="359">
        <f t="shared" ref="L24:M28" si="31">O24-I24</f>
        <v>0</v>
      </c>
      <c r="M24" s="359">
        <f t="shared" si="31"/>
        <v>0</v>
      </c>
      <c r="N24" s="171">
        <v>0</v>
      </c>
      <c r="O24" s="587">
        <v>0</v>
      </c>
      <c r="P24" s="587">
        <v>0</v>
      </c>
      <c r="Q24" s="171">
        <v>0</v>
      </c>
      <c r="R24" s="359">
        <f t="shared" ref="R24:S28" si="32">U24-O24</f>
        <v>0</v>
      </c>
      <c r="S24" s="359">
        <f t="shared" si="32"/>
        <v>0</v>
      </c>
      <c r="T24" s="171">
        <v>0</v>
      </c>
      <c r="U24" s="710">
        <v>0</v>
      </c>
      <c r="V24" s="589">
        <v>0</v>
      </c>
      <c r="W24" s="171">
        <v>0</v>
      </c>
      <c r="X24" s="468">
        <f t="shared" si="30"/>
        <v>0</v>
      </c>
      <c r="Y24" s="468">
        <f t="shared" si="30"/>
        <v>0</v>
      </c>
      <c r="Z24" s="462">
        <v>0</v>
      </c>
      <c r="AA24" s="719">
        <v>0</v>
      </c>
      <c r="AB24" s="630">
        <v>0</v>
      </c>
      <c r="AC24" s="462">
        <v>0</v>
      </c>
      <c r="AD24" s="587">
        <f t="shared" si="23"/>
        <v>0</v>
      </c>
      <c r="AE24" s="587">
        <f t="shared" si="24"/>
        <v>0</v>
      </c>
      <c r="AF24" s="579">
        <v>0</v>
      </c>
      <c r="AG24" s="710">
        <v>0</v>
      </c>
      <c r="AH24" s="589">
        <v>0</v>
      </c>
      <c r="AI24" s="462">
        <v>0</v>
      </c>
    </row>
    <row r="25" spans="1:35" ht="15" customHeight="1">
      <c r="A25" s="92"/>
      <c r="B25" s="846"/>
      <c r="C25" s="75" t="s">
        <v>163</v>
      </c>
      <c r="D25" s="40">
        <v>2246</v>
      </c>
      <c r="E25" s="40">
        <v>0</v>
      </c>
      <c r="F25" s="40">
        <v>193</v>
      </c>
      <c r="G25" s="40">
        <v>0</v>
      </c>
      <c r="H25" s="608">
        <v>0</v>
      </c>
      <c r="I25" s="629">
        <v>0</v>
      </c>
      <c r="J25" s="589">
        <v>0</v>
      </c>
      <c r="K25" s="171">
        <v>0</v>
      </c>
      <c r="L25" s="359">
        <f t="shared" si="31"/>
        <v>0</v>
      </c>
      <c r="M25" s="359">
        <f t="shared" si="31"/>
        <v>0</v>
      </c>
      <c r="N25" s="171">
        <v>0</v>
      </c>
      <c r="O25" s="587">
        <v>0</v>
      </c>
      <c r="P25" s="587">
        <v>0</v>
      </c>
      <c r="Q25" s="171">
        <v>0</v>
      </c>
      <c r="R25" s="359">
        <f t="shared" si="32"/>
        <v>0</v>
      </c>
      <c r="S25" s="359">
        <f t="shared" si="32"/>
        <v>0</v>
      </c>
      <c r="T25" s="171">
        <v>0</v>
      </c>
      <c r="U25" s="710">
        <v>0</v>
      </c>
      <c r="V25" s="589">
        <v>0</v>
      </c>
      <c r="W25" s="171">
        <v>0</v>
      </c>
      <c r="X25" s="468">
        <f t="shared" si="30"/>
        <v>0</v>
      </c>
      <c r="Y25" s="468">
        <f t="shared" si="30"/>
        <v>0</v>
      </c>
      <c r="Z25" s="462">
        <v>0</v>
      </c>
      <c r="AA25" s="719">
        <v>0</v>
      </c>
      <c r="AB25" s="630">
        <v>0</v>
      </c>
      <c r="AC25" s="462">
        <v>0</v>
      </c>
      <c r="AD25" s="587">
        <f t="shared" si="23"/>
        <v>0</v>
      </c>
      <c r="AE25" s="587">
        <f t="shared" si="24"/>
        <v>0</v>
      </c>
      <c r="AF25" s="579">
        <v>0</v>
      </c>
      <c r="AG25" s="710">
        <v>0</v>
      </c>
      <c r="AH25" s="589">
        <v>0</v>
      </c>
      <c r="AI25" s="462">
        <v>0</v>
      </c>
    </row>
    <row r="26" spans="1:35" ht="15" customHeight="1">
      <c r="A26" s="92"/>
      <c r="B26" s="846"/>
      <c r="C26" s="75" t="s">
        <v>155</v>
      </c>
      <c r="D26" s="40">
        <v>0</v>
      </c>
      <c r="E26" s="40">
        <v>1002</v>
      </c>
      <c r="F26" s="40">
        <v>0</v>
      </c>
      <c r="G26" s="40">
        <v>0</v>
      </c>
      <c r="H26" s="608">
        <v>0</v>
      </c>
      <c r="I26" s="629">
        <v>0</v>
      </c>
      <c r="J26" s="589">
        <v>0</v>
      </c>
      <c r="K26" s="171">
        <v>0</v>
      </c>
      <c r="L26" s="359">
        <f t="shared" si="31"/>
        <v>0</v>
      </c>
      <c r="M26" s="359">
        <f t="shared" si="31"/>
        <v>0</v>
      </c>
      <c r="N26" s="171">
        <v>0</v>
      </c>
      <c r="O26" s="587">
        <v>0</v>
      </c>
      <c r="P26" s="587">
        <v>0</v>
      </c>
      <c r="Q26" s="171">
        <v>0</v>
      </c>
      <c r="R26" s="359">
        <f t="shared" si="32"/>
        <v>0</v>
      </c>
      <c r="S26" s="359">
        <f t="shared" si="32"/>
        <v>0</v>
      </c>
      <c r="T26" s="171">
        <v>0</v>
      </c>
      <c r="U26" s="710">
        <v>0</v>
      </c>
      <c r="V26" s="589">
        <v>0</v>
      </c>
      <c r="W26" s="171">
        <v>0</v>
      </c>
      <c r="X26" s="468">
        <f t="shared" si="30"/>
        <v>0</v>
      </c>
      <c r="Y26" s="468">
        <f t="shared" si="30"/>
        <v>0</v>
      </c>
      <c r="Z26" s="462">
        <v>0</v>
      </c>
      <c r="AA26" s="719">
        <v>0</v>
      </c>
      <c r="AB26" s="630">
        <v>0</v>
      </c>
      <c r="AC26" s="462">
        <v>0</v>
      </c>
      <c r="AD26" s="587">
        <f t="shared" si="23"/>
        <v>0</v>
      </c>
      <c r="AE26" s="587">
        <f t="shared" si="24"/>
        <v>0</v>
      </c>
      <c r="AF26" s="579">
        <v>0</v>
      </c>
      <c r="AG26" s="710">
        <v>0</v>
      </c>
      <c r="AH26" s="589">
        <v>0</v>
      </c>
      <c r="AI26" s="462">
        <v>0</v>
      </c>
    </row>
    <row r="27" spans="1:35" ht="15" customHeight="1">
      <c r="A27" s="92"/>
      <c r="B27" s="846"/>
      <c r="C27" s="75" t="s">
        <v>158</v>
      </c>
      <c r="D27" s="40">
        <v>0</v>
      </c>
      <c r="E27" s="40">
        <v>504</v>
      </c>
      <c r="F27" s="40">
        <v>0</v>
      </c>
      <c r="G27" s="40">
        <v>0</v>
      </c>
      <c r="H27" s="608">
        <v>0</v>
      </c>
      <c r="I27" s="629">
        <v>0</v>
      </c>
      <c r="J27" s="589">
        <v>0</v>
      </c>
      <c r="K27" s="171">
        <v>0</v>
      </c>
      <c r="L27" s="359">
        <f t="shared" si="31"/>
        <v>0</v>
      </c>
      <c r="M27" s="359">
        <f t="shared" si="31"/>
        <v>0</v>
      </c>
      <c r="N27" s="171">
        <v>0</v>
      </c>
      <c r="O27" s="587">
        <v>0</v>
      </c>
      <c r="P27" s="587">
        <v>0</v>
      </c>
      <c r="Q27" s="171">
        <v>0</v>
      </c>
      <c r="R27" s="359">
        <f t="shared" si="32"/>
        <v>0</v>
      </c>
      <c r="S27" s="359">
        <f t="shared" si="32"/>
        <v>0</v>
      </c>
      <c r="T27" s="171">
        <v>0</v>
      </c>
      <c r="U27" s="710">
        <v>0</v>
      </c>
      <c r="V27" s="589">
        <v>0</v>
      </c>
      <c r="W27" s="171">
        <v>0</v>
      </c>
      <c r="X27" s="468">
        <f t="shared" si="30"/>
        <v>0</v>
      </c>
      <c r="Y27" s="468">
        <f t="shared" si="30"/>
        <v>205</v>
      </c>
      <c r="Z27" s="462">
        <v>0</v>
      </c>
      <c r="AA27" s="719">
        <v>0</v>
      </c>
      <c r="AB27" s="630">
        <v>205</v>
      </c>
      <c r="AC27" s="462">
        <v>0</v>
      </c>
      <c r="AD27" s="587">
        <f t="shared" si="23"/>
        <v>0</v>
      </c>
      <c r="AE27" s="587">
        <f t="shared" si="24"/>
        <v>0</v>
      </c>
      <c r="AF27" s="579">
        <v>0</v>
      </c>
      <c r="AG27" s="710">
        <v>0</v>
      </c>
      <c r="AH27" s="589">
        <v>205</v>
      </c>
      <c r="AI27" s="462">
        <v>0</v>
      </c>
    </row>
    <row r="28" spans="1:35" ht="15" customHeight="1">
      <c r="A28" s="92"/>
      <c r="B28" s="846"/>
      <c r="C28" s="75" t="s">
        <v>162</v>
      </c>
      <c r="D28" s="40">
        <v>2400</v>
      </c>
      <c r="E28" s="40">
        <v>0</v>
      </c>
      <c r="F28" s="40">
        <v>0</v>
      </c>
      <c r="G28" s="40">
        <v>0</v>
      </c>
      <c r="H28" s="608">
        <v>0</v>
      </c>
      <c r="I28" s="629">
        <v>0</v>
      </c>
      <c r="J28" s="589">
        <v>0</v>
      </c>
      <c r="K28" s="171">
        <v>0</v>
      </c>
      <c r="L28" s="359">
        <f t="shared" si="31"/>
        <v>0</v>
      </c>
      <c r="M28" s="359">
        <f t="shared" si="31"/>
        <v>0</v>
      </c>
      <c r="N28" s="171">
        <v>0</v>
      </c>
      <c r="O28" s="587">
        <v>0</v>
      </c>
      <c r="P28" s="587">
        <v>0</v>
      </c>
      <c r="Q28" s="171">
        <v>0</v>
      </c>
      <c r="R28" s="359">
        <f t="shared" si="32"/>
        <v>0</v>
      </c>
      <c r="S28" s="359">
        <f t="shared" si="32"/>
        <v>0</v>
      </c>
      <c r="T28" s="171">
        <v>0</v>
      </c>
      <c r="U28" s="710">
        <v>0</v>
      </c>
      <c r="V28" s="589">
        <v>0</v>
      </c>
      <c r="W28" s="171">
        <v>0</v>
      </c>
      <c r="X28" s="468">
        <f t="shared" si="30"/>
        <v>0</v>
      </c>
      <c r="Y28" s="468">
        <f t="shared" si="30"/>
        <v>0</v>
      </c>
      <c r="Z28" s="462">
        <v>0</v>
      </c>
      <c r="AA28" s="719">
        <v>0</v>
      </c>
      <c r="AB28" s="630">
        <v>0</v>
      </c>
      <c r="AC28" s="462">
        <v>0</v>
      </c>
      <c r="AD28" s="468">
        <f t="shared" ref="AD28:AE28" si="33">AG28-AA28</f>
        <v>0</v>
      </c>
      <c r="AE28" s="468">
        <f t="shared" si="33"/>
        <v>0</v>
      </c>
      <c r="AF28" s="462">
        <v>0</v>
      </c>
      <c r="AG28" s="710">
        <v>0</v>
      </c>
      <c r="AH28" s="589">
        <v>0</v>
      </c>
      <c r="AI28" s="462">
        <v>0</v>
      </c>
    </row>
    <row r="29" spans="1:35" ht="15" customHeight="1">
      <c r="A29" s="92"/>
      <c r="B29" s="846"/>
      <c r="C29" s="75" t="s">
        <v>164</v>
      </c>
      <c r="D29" s="40">
        <f t="shared" ref="D29:J29" si="34">D30-SUM(D6:D28)</f>
        <v>70</v>
      </c>
      <c r="E29" s="40">
        <f t="shared" si="34"/>
        <v>130</v>
      </c>
      <c r="F29" s="40">
        <f t="shared" si="34"/>
        <v>124</v>
      </c>
      <c r="G29" s="40">
        <f t="shared" si="34"/>
        <v>91</v>
      </c>
      <c r="H29" s="608">
        <f t="shared" si="34"/>
        <v>194</v>
      </c>
      <c r="I29" s="630">
        <f t="shared" si="34"/>
        <v>25</v>
      </c>
      <c r="J29" s="589">
        <f t="shared" si="34"/>
        <v>0</v>
      </c>
      <c r="K29" s="525">
        <f t="shared" ref="K29" si="35">ROUND(((J29/I29-1)*100), 1)</f>
        <v>-100</v>
      </c>
      <c r="L29" s="359">
        <f>L30-SUM(L6:L28)</f>
        <v>0</v>
      </c>
      <c r="M29" s="366">
        <f>M30-SUM(M6:M28)</f>
        <v>0</v>
      </c>
      <c r="N29" s="463">
        <v>0</v>
      </c>
      <c r="O29" s="589">
        <f>O30-SUM(O6:O28)</f>
        <v>25</v>
      </c>
      <c r="P29" s="589">
        <f>P30-SUM(P6:P28)</f>
        <v>0</v>
      </c>
      <c r="Q29" s="525">
        <f>ROUND(((P29/O29-1)*100), 1)</f>
        <v>-100</v>
      </c>
      <c r="R29" s="359">
        <f>R30-SUM(R6:R28)</f>
        <v>24</v>
      </c>
      <c r="S29" s="366">
        <f>S30-SUM(S6:S28)</f>
        <v>0</v>
      </c>
      <c r="T29" s="172">
        <v>0</v>
      </c>
      <c r="U29" s="589">
        <f>U30-SUM(U6:U28)</f>
        <v>49</v>
      </c>
      <c r="V29" s="589">
        <f>V30-SUM(V6:V28)</f>
        <v>0</v>
      </c>
      <c r="W29" s="235">
        <f t="shared" ref="W29:W30" si="36">ROUND(((V29/U29-1)*100), 1)</f>
        <v>-100</v>
      </c>
      <c r="X29" s="468">
        <f>X30-SUM(X6:X28)</f>
        <v>50</v>
      </c>
      <c r="Y29" s="366">
        <f>Y30-SUM(Y6:Y28)</f>
        <v>0</v>
      </c>
      <c r="Z29" s="463">
        <v>0</v>
      </c>
      <c r="AA29" s="630">
        <f>AA30-SUM(AA6:AA28)</f>
        <v>99</v>
      </c>
      <c r="AB29" s="630">
        <f>AB30-SUM(AB6:AB28)</f>
        <v>0</v>
      </c>
      <c r="AC29" s="235">
        <f t="shared" ref="AC29:AC30" si="37">ROUND(((AB29/AA29-1)*100), 1)</f>
        <v>-100</v>
      </c>
      <c r="AD29" s="468">
        <f>AD30-SUM(AD6:AD28)</f>
        <v>19</v>
      </c>
      <c r="AE29" s="366">
        <f>AE30-SUM(AE6:AE28)</f>
        <v>0</v>
      </c>
      <c r="AF29" s="235">
        <f>ROUND(((AE29/AD29-1)*100), 1)</f>
        <v>-100</v>
      </c>
      <c r="AG29" s="589">
        <f>AG30-SUM(AG6:AG28)</f>
        <v>118</v>
      </c>
      <c r="AH29" s="589">
        <f>AH30-SUM(AH6:AH28)</f>
        <v>0</v>
      </c>
      <c r="AI29" s="235">
        <f t="shared" ref="AI29:AI30" si="38">ROUND(((AH29/AG29-1)*100), 1)</f>
        <v>-100</v>
      </c>
    </row>
    <row r="30" spans="1:35" ht="15" customHeight="1">
      <c r="A30" s="471"/>
      <c r="B30" s="748"/>
      <c r="C30" s="161" t="s">
        <v>272</v>
      </c>
      <c r="D30" s="42">
        <v>307943</v>
      </c>
      <c r="E30" s="42">
        <v>272274</v>
      </c>
      <c r="F30" s="42">
        <v>286836</v>
      </c>
      <c r="G30" s="42">
        <v>270666</v>
      </c>
      <c r="H30" s="609">
        <v>262832</v>
      </c>
      <c r="I30" s="631">
        <v>28462</v>
      </c>
      <c r="J30" s="585">
        <v>16102</v>
      </c>
      <c r="K30" s="236">
        <f t="shared" ref="K30" si="39">ROUND(((J30/I30-1)*100), 1)</f>
        <v>-43.4</v>
      </c>
      <c r="L30" s="376">
        <f t="shared" ref="L30:M30" si="40">O30-I30</f>
        <v>18079</v>
      </c>
      <c r="M30" s="376">
        <f t="shared" si="40"/>
        <v>24390</v>
      </c>
      <c r="N30" s="236">
        <f t="shared" ref="N30" si="41">ROUND(((M30/L30-1)*100), 1)</f>
        <v>34.9</v>
      </c>
      <c r="O30" s="585">
        <v>46541</v>
      </c>
      <c r="P30" s="585">
        <v>40492</v>
      </c>
      <c r="Q30" s="236">
        <f t="shared" ref="Q30" si="42">ROUND(((P30/O30-1)*100), 1)</f>
        <v>-13</v>
      </c>
      <c r="R30" s="376">
        <f t="shared" ref="R30" si="43">U30-O30</f>
        <v>24432</v>
      </c>
      <c r="S30" s="376">
        <f t="shared" ref="S30" si="44">V30-P30</f>
        <v>12932</v>
      </c>
      <c r="T30" s="236">
        <f t="shared" ref="T30" si="45">ROUND(((S30/R30-1)*100), 1)</f>
        <v>-47.1</v>
      </c>
      <c r="U30" s="585">
        <v>70973</v>
      </c>
      <c r="V30" s="585">
        <v>53424</v>
      </c>
      <c r="W30" s="236">
        <f t="shared" si="36"/>
        <v>-24.7</v>
      </c>
      <c r="X30" s="376">
        <f t="shared" ref="X30" si="46">AA30-U30</f>
        <v>25873</v>
      </c>
      <c r="Y30" s="376">
        <f t="shared" ref="Y30" si="47">AB30-V30</f>
        <v>28865</v>
      </c>
      <c r="Z30" s="236">
        <f t="shared" ref="Z30" si="48">ROUND(((Y30/X30-1)*100), 1)</f>
        <v>11.6</v>
      </c>
      <c r="AA30" s="631">
        <v>96846</v>
      </c>
      <c r="AB30" s="631">
        <v>82289</v>
      </c>
      <c r="AC30" s="236">
        <f t="shared" si="37"/>
        <v>-15</v>
      </c>
      <c r="AD30" s="376">
        <f t="shared" ref="AD30:AE30" si="49">AG30-AA30</f>
        <v>17015</v>
      </c>
      <c r="AE30" s="376">
        <f t="shared" si="49"/>
        <v>20001</v>
      </c>
      <c r="AF30" s="236">
        <f t="shared" ref="AF30" si="50">ROUND(((AE30/AD30-1)*100), 1)</f>
        <v>17.5</v>
      </c>
      <c r="AG30" s="585">
        <v>113861</v>
      </c>
      <c r="AH30" s="585">
        <v>102290</v>
      </c>
      <c r="AI30" s="236">
        <f t="shared" si="38"/>
        <v>-10.199999999999999</v>
      </c>
    </row>
    <row r="31" spans="1:35" ht="15" customHeight="1">
      <c r="A31" s="92"/>
      <c r="B31" s="847" t="s">
        <v>165</v>
      </c>
      <c r="C31" s="75" t="s">
        <v>147</v>
      </c>
      <c r="D31" s="40">
        <v>19736</v>
      </c>
      <c r="E31" s="40">
        <v>16781</v>
      </c>
      <c r="F31" s="40">
        <v>23636</v>
      </c>
      <c r="G31" s="40">
        <v>31914</v>
      </c>
      <c r="H31" s="608">
        <v>30476</v>
      </c>
      <c r="I31" s="629">
        <v>2421</v>
      </c>
      <c r="J31" s="587">
        <v>3134</v>
      </c>
      <c r="K31" s="235">
        <f t="shared" ref="K31:K38" si="51">ROUND(((J31/I31-1)*100), 1)</f>
        <v>29.5</v>
      </c>
      <c r="L31" s="359">
        <f t="shared" ref="L31:L43" si="52">O31-I31</f>
        <v>2602</v>
      </c>
      <c r="M31" s="359">
        <f t="shared" ref="M31:M43" si="53">P31-J31</f>
        <v>2218</v>
      </c>
      <c r="N31" s="235">
        <f t="shared" ref="N31:N38" si="54">ROUND(((M31/L31-1)*100), 1)</f>
        <v>-14.8</v>
      </c>
      <c r="O31" s="587">
        <v>5023</v>
      </c>
      <c r="P31" s="587">
        <v>5352</v>
      </c>
      <c r="Q31" s="235">
        <f t="shared" ref="Q31:Q38" si="55">ROUND(((P31/O31-1)*100), 1)</f>
        <v>6.5</v>
      </c>
      <c r="R31" s="359">
        <f t="shared" ref="R31:R43" si="56">U31-O31</f>
        <v>3096</v>
      </c>
      <c r="S31" s="359">
        <f t="shared" ref="S31:S43" si="57">V31-P31</f>
        <v>3386</v>
      </c>
      <c r="T31" s="235">
        <f t="shared" ref="T31:T38" si="58">ROUND(((S31/R31-1)*100), 1)</f>
        <v>9.4</v>
      </c>
      <c r="U31" s="587">
        <v>8119</v>
      </c>
      <c r="V31" s="587">
        <v>8738</v>
      </c>
      <c r="W31" s="235">
        <f t="shared" ref="W31:W38" si="59">ROUND(((V31/U31-1)*100), 1)</f>
        <v>7.6</v>
      </c>
      <c r="X31" s="468">
        <f t="shared" ref="X31:X43" si="60">AA31-U31</f>
        <v>1886</v>
      </c>
      <c r="Y31" s="468">
        <f t="shared" ref="Y31:Y43" si="61">AB31-V31</f>
        <v>3961</v>
      </c>
      <c r="Z31" s="235">
        <f>ROUND(((Y31/X31-1)*100), 1)</f>
        <v>110</v>
      </c>
      <c r="AA31" s="629">
        <v>10005</v>
      </c>
      <c r="AB31" s="629">
        <v>12699</v>
      </c>
      <c r="AC31" s="235">
        <f t="shared" ref="AC31:AC38" si="62">ROUND(((AB31/AA31-1)*100), 1)</f>
        <v>26.9</v>
      </c>
      <c r="AD31" s="468">
        <f t="shared" ref="AD31:AD43" si="63">AG31-AA31</f>
        <v>1303</v>
      </c>
      <c r="AE31" s="468">
        <f t="shared" ref="AE31:AE43" si="64">AH31-AB31</f>
        <v>2732</v>
      </c>
      <c r="AF31" s="235">
        <f t="shared" ref="AF31:AF36" si="65">ROUND(((AE31/AD31-1)*100), 1)</f>
        <v>109.7</v>
      </c>
      <c r="AG31" s="587">
        <v>11308</v>
      </c>
      <c r="AH31" s="587">
        <v>15431</v>
      </c>
      <c r="AI31" s="235">
        <f t="shared" ref="AI31:AI38" si="66">ROUND(((AH31/AG31-1)*100), 1)</f>
        <v>36.5</v>
      </c>
    </row>
    <row r="32" spans="1:35" ht="15" customHeight="1">
      <c r="A32" s="471"/>
      <c r="B32" s="846"/>
      <c r="C32" s="75" t="s">
        <v>45</v>
      </c>
      <c r="D32" s="40">
        <v>15719</v>
      </c>
      <c r="E32" s="40">
        <v>14083</v>
      </c>
      <c r="F32" s="40">
        <v>19909</v>
      </c>
      <c r="G32" s="40">
        <v>23421</v>
      </c>
      <c r="H32" s="608">
        <v>20571</v>
      </c>
      <c r="I32" s="629">
        <v>2392</v>
      </c>
      <c r="J32" s="587">
        <v>1814</v>
      </c>
      <c r="K32" s="235">
        <f t="shared" si="51"/>
        <v>-24.2</v>
      </c>
      <c r="L32" s="359">
        <f t="shared" si="52"/>
        <v>2906</v>
      </c>
      <c r="M32" s="359">
        <f t="shared" si="53"/>
        <v>2216</v>
      </c>
      <c r="N32" s="235">
        <f t="shared" si="54"/>
        <v>-23.7</v>
      </c>
      <c r="O32" s="587">
        <v>5298</v>
      </c>
      <c r="P32" s="587">
        <v>4030</v>
      </c>
      <c r="Q32" s="235">
        <f t="shared" si="55"/>
        <v>-23.9</v>
      </c>
      <c r="R32" s="359">
        <f t="shared" si="56"/>
        <v>1474</v>
      </c>
      <c r="S32" s="359">
        <f t="shared" si="57"/>
        <v>2632</v>
      </c>
      <c r="T32" s="235">
        <f t="shared" si="58"/>
        <v>78.599999999999994</v>
      </c>
      <c r="U32" s="587">
        <v>6772</v>
      </c>
      <c r="V32" s="528">
        <v>6662</v>
      </c>
      <c r="W32" s="235">
        <f t="shared" si="59"/>
        <v>-1.6</v>
      </c>
      <c r="X32" s="468">
        <f t="shared" si="60"/>
        <v>667</v>
      </c>
      <c r="Y32" s="468">
        <f t="shared" si="61"/>
        <v>2559</v>
      </c>
      <c r="Z32" s="235">
        <f>ROUND(((Y32/X32-1)*100), 1)</f>
        <v>283.7</v>
      </c>
      <c r="AA32" s="629">
        <v>7439</v>
      </c>
      <c r="AB32" s="629">
        <v>9221</v>
      </c>
      <c r="AC32" s="235">
        <f t="shared" si="62"/>
        <v>24</v>
      </c>
      <c r="AD32" s="468">
        <f t="shared" si="63"/>
        <v>0</v>
      </c>
      <c r="AE32" s="468">
        <f t="shared" si="64"/>
        <v>2770</v>
      </c>
      <c r="AF32" s="579">
        <v>0</v>
      </c>
      <c r="AG32" s="587">
        <v>7439</v>
      </c>
      <c r="AH32" s="587">
        <v>11991</v>
      </c>
      <c r="AI32" s="235">
        <f t="shared" si="66"/>
        <v>61.2</v>
      </c>
    </row>
    <row r="33" spans="1:35" ht="15" customHeight="1">
      <c r="A33" s="92"/>
      <c r="B33" s="846"/>
      <c r="C33" s="75" t="s">
        <v>148</v>
      </c>
      <c r="D33" s="40">
        <v>10732</v>
      </c>
      <c r="E33" s="40">
        <v>7860</v>
      </c>
      <c r="F33" s="40">
        <v>4407</v>
      </c>
      <c r="G33" s="40">
        <v>3177</v>
      </c>
      <c r="H33" s="608">
        <v>3540</v>
      </c>
      <c r="I33" s="629">
        <v>323</v>
      </c>
      <c r="J33" s="587">
        <v>77</v>
      </c>
      <c r="K33" s="235">
        <f t="shared" si="51"/>
        <v>-76.2</v>
      </c>
      <c r="L33" s="359">
        <f t="shared" si="52"/>
        <v>349</v>
      </c>
      <c r="M33" s="359">
        <f t="shared" si="53"/>
        <v>249</v>
      </c>
      <c r="N33" s="235">
        <f t="shared" si="54"/>
        <v>-28.7</v>
      </c>
      <c r="O33" s="587">
        <v>672</v>
      </c>
      <c r="P33" s="587">
        <v>326</v>
      </c>
      <c r="Q33" s="235">
        <f t="shared" si="55"/>
        <v>-51.5</v>
      </c>
      <c r="R33" s="359">
        <f t="shared" si="56"/>
        <v>148</v>
      </c>
      <c r="S33" s="359">
        <f t="shared" si="57"/>
        <v>161</v>
      </c>
      <c r="T33" s="235">
        <f t="shared" si="58"/>
        <v>8.8000000000000007</v>
      </c>
      <c r="U33" s="587">
        <v>820</v>
      </c>
      <c r="V33" s="587">
        <v>487</v>
      </c>
      <c r="W33" s="235">
        <f t="shared" si="59"/>
        <v>-40.6</v>
      </c>
      <c r="X33" s="468">
        <f t="shared" si="60"/>
        <v>251</v>
      </c>
      <c r="Y33" s="468">
        <f t="shared" si="61"/>
        <v>188</v>
      </c>
      <c r="Z33" s="235">
        <f>ROUND(((Y33/X33-1)*100), 1)</f>
        <v>-25.1</v>
      </c>
      <c r="AA33" s="629">
        <v>1071</v>
      </c>
      <c r="AB33" s="629">
        <v>675</v>
      </c>
      <c r="AC33" s="235">
        <f t="shared" si="62"/>
        <v>-37</v>
      </c>
      <c r="AD33" s="468">
        <f t="shared" si="63"/>
        <v>200</v>
      </c>
      <c r="AE33" s="468">
        <f t="shared" si="64"/>
        <v>38</v>
      </c>
      <c r="AF33" s="235">
        <f t="shared" si="65"/>
        <v>-81</v>
      </c>
      <c r="AG33" s="587">
        <v>1271</v>
      </c>
      <c r="AH33" s="587">
        <v>713</v>
      </c>
      <c r="AI33" s="235">
        <f t="shared" si="66"/>
        <v>-43.9</v>
      </c>
    </row>
    <row r="34" spans="1:35" ht="15" customHeight="1">
      <c r="A34" s="92"/>
      <c r="B34" s="846"/>
      <c r="C34" s="75" t="s">
        <v>166</v>
      </c>
      <c r="D34" s="40">
        <v>8032</v>
      </c>
      <c r="E34" s="40">
        <v>11055</v>
      </c>
      <c r="F34" s="40">
        <v>4163</v>
      </c>
      <c r="G34" s="40">
        <v>9440</v>
      </c>
      <c r="H34" s="608">
        <v>3319</v>
      </c>
      <c r="I34" s="629">
        <v>553</v>
      </c>
      <c r="J34" s="587">
        <v>347</v>
      </c>
      <c r="K34" s="235">
        <f t="shared" si="51"/>
        <v>-37.299999999999997</v>
      </c>
      <c r="L34" s="359">
        <f t="shared" si="52"/>
        <v>253</v>
      </c>
      <c r="M34" s="359">
        <f t="shared" si="53"/>
        <v>366</v>
      </c>
      <c r="N34" s="235">
        <f t="shared" si="54"/>
        <v>44.7</v>
      </c>
      <c r="O34" s="587">
        <v>806</v>
      </c>
      <c r="P34" s="587">
        <v>713</v>
      </c>
      <c r="Q34" s="235">
        <f t="shared" si="55"/>
        <v>-11.5</v>
      </c>
      <c r="R34" s="359">
        <f t="shared" si="56"/>
        <v>229</v>
      </c>
      <c r="S34" s="359">
        <f t="shared" si="57"/>
        <v>350</v>
      </c>
      <c r="T34" s="235">
        <f t="shared" si="58"/>
        <v>52.8</v>
      </c>
      <c r="U34" s="587">
        <v>1035</v>
      </c>
      <c r="V34" s="587">
        <v>1063</v>
      </c>
      <c r="W34" s="235">
        <f t="shared" si="59"/>
        <v>2.7</v>
      </c>
      <c r="X34" s="468">
        <f t="shared" si="60"/>
        <v>179</v>
      </c>
      <c r="Y34" s="468">
        <f t="shared" si="61"/>
        <v>256</v>
      </c>
      <c r="Z34" s="235">
        <f>ROUND(((Y34/X34-1)*100), 1)</f>
        <v>43</v>
      </c>
      <c r="AA34" s="629">
        <v>1214</v>
      </c>
      <c r="AB34" s="629">
        <v>1319</v>
      </c>
      <c r="AC34" s="235">
        <f t="shared" si="62"/>
        <v>8.6</v>
      </c>
      <c r="AD34" s="468">
        <f t="shared" si="63"/>
        <v>352</v>
      </c>
      <c r="AE34" s="468">
        <f t="shared" si="64"/>
        <v>251</v>
      </c>
      <c r="AF34" s="235">
        <f t="shared" si="65"/>
        <v>-28.7</v>
      </c>
      <c r="AG34" s="587">
        <v>1566</v>
      </c>
      <c r="AH34" s="587">
        <v>1570</v>
      </c>
      <c r="AI34" s="235">
        <f t="shared" si="66"/>
        <v>0.3</v>
      </c>
    </row>
    <row r="35" spans="1:35" ht="15" customHeight="1">
      <c r="A35" s="92"/>
      <c r="B35" s="846"/>
      <c r="C35" s="75" t="s">
        <v>152</v>
      </c>
      <c r="D35" s="40">
        <v>2144</v>
      </c>
      <c r="E35" s="40">
        <v>4340</v>
      </c>
      <c r="F35" s="40">
        <v>3218</v>
      </c>
      <c r="G35" s="40">
        <v>2642</v>
      </c>
      <c r="H35" s="608">
        <v>2370</v>
      </c>
      <c r="I35" s="629">
        <v>521</v>
      </c>
      <c r="J35" s="587">
        <v>125</v>
      </c>
      <c r="K35" s="235">
        <f t="shared" si="51"/>
        <v>-76</v>
      </c>
      <c r="L35" s="359">
        <f t="shared" si="52"/>
        <v>0</v>
      </c>
      <c r="M35" s="359">
        <f t="shared" si="53"/>
        <v>0</v>
      </c>
      <c r="N35" s="579">
        <v>0</v>
      </c>
      <c r="O35" s="587">
        <v>521</v>
      </c>
      <c r="P35" s="587">
        <v>125</v>
      </c>
      <c r="Q35" s="235">
        <f t="shared" si="55"/>
        <v>-76</v>
      </c>
      <c r="R35" s="359">
        <f t="shared" si="56"/>
        <v>0</v>
      </c>
      <c r="S35" s="359">
        <f t="shared" si="57"/>
        <v>0</v>
      </c>
      <c r="T35" s="579">
        <v>0</v>
      </c>
      <c r="U35" s="587">
        <v>521</v>
      </c>
      <c r="V35" s="587">
        <v>125</v>
      </c>
      <c r="W35" s="235">
        <f t="shared" si="59"/>
        <v>-76</v>
      </c>
      <c r="X35" s="587">
        <f t="shared" ref="X35:X41" si="67">AA35-U35</f>
        <v>0</v>
      </c>
      <c r="Y35" s="587">
        <f t="shared" ref="Y35:Y41" si="68">AB35-V35</f>
        <v>375</v>
      </c>
      <c r="Z35" s="579">
        <v>0</v>
      </c>
      <c r="AA35" s="629">
        <v>521</v>
      </c>
      <c r="AB35" s="629">
        <v>500</v>
      </c>
      <c r="AC35" s="235">
        <f t="shared" si="62"/>
        <v>-4</v>
      </c>
      <c r="AD35" s="468">
        <f t="shared" si="63"/>
        <v>347</v>
      </c>
      <c r="AE35" s="468">
        <f t="shared" si="64"/>
        <v>0</v>
      </c>
      <c r="AF35" s="235">
        <f t="shared" si="65"/>
        <v>-100</v>
      </c>
      <c r="AG35" s="587">
        <v>868</v>
      </c>
      <c r="AH35" s="587">
        <v>500</v>
      </c>
      <c r="AI35" s="235">
        <f t="shared" si="66"/>
        <v>-42.4</v>
      </c>
    </row>
    <row r="36" spans="1:35" ht="15" customHeight="1">
      <c r="A36" s="92"/>
      <c r="B36" s="846"/>
      <c r="C36" s="75" t="s">
        <v>157</v>
      </c>
      <c r="D36" s="40">
        <v>1842</v>
      </c>
      <c r="E36" s="40">
        <v>2126</v>
      </c>
      <c r="F36" s="40">
        <v>2076</v>
      </c>
      <c r="G36" s="40">
        <v>2220</v>
      </c>
      <c r="H36" s="608">
        <v>1475</v>
      </c>
      <c r="I36" s="629">
        <v>142</v>
      </c>
      <c r="J36" s="528">
        <v>121</v>
      </c>
      <c r="K36" s="235">
        <f t="shared" si="51"/>
        <v>-14.8</v>
      </c>
      <c r="L36" s="359">
        <f t="shared" si="52"/>
        <v>120</v>
      </c>
      <c r="M36" s="359">
        <f t="shared" si="53"/>
        <v>119</v>
      </c>
      <c r="N36" s="571">
        <f t="shared" si="54"/>
        <v>-0.8</v>
      </c>
      <c r="O36" s="587">
        <v>262</v>
      </c>
      <c r="P36" s="587">
        <v>240</v>
      </c>
      <c r="Q36" s="235">
        <f t="shared" si="55"/>
        <v>-8.4</v>
      </c>
      <c r="R36" s="359">
        <f t="shared" si="56"/>
        <v>100</v>
      </c>
      <c r="S36" s="359">
        <f t="shared" si="57"/>
        <v>121</v>
      </c>
      <c r="T36" s="235">
        <f t="shared" si="58"/>
        <v>21</v>
      </c>
      <c r="U36" s="587">
        <v>362</v>
      </c>
      <c r="V36" s="587">
        <v>361</v>
      </c>
      <c r="W36" s="235">
        <f t="shared" si="59"/>
        <v>-0.3</v>
      </c>
      <c r="X36" s="587">
        <f t="shared" si="67"/>
        <v>120</v>
      </c>
      <c r="Y36" s="587">
        <f t="shared" si="68"/>
        <v>324</v>
      </c>
      <c r="Z36" s="571">
        <f t="shared" ref="Z36:Z37" si="69">ROUND(((Y36/X36-1)*100), 1)</f>
        <v>170</v>
      </c>
      <c r="AA36" s="629">
        <v>482</v>
      </c>
      <c r="AB36" s="629">
        <v>685</v>
      </c>
      <c r="AC36" s="235">
        <f t="shared" si="62"/>
        <v>42.1</v>
      </c>
      <c r="AD36" s="468">
        <f t="shared" si="63"/>
        <v>120</v>
      </c>
      <c r="AE36" s="468">
        <f t="shared" si="64"/>
        <v>329</v>
      </c>
      <c r="AF36" s="235">
        <f t="shared" si="65"/>
        <v>174.2</v>
      </c>
      <c r="AG36" s="587">
        <v>602</v>
      </c>
      <c r="AH36" s="587">
        <v>1014</v>
      </c>
      <c r="AI36" s="235">
        <f t="shared" si="66"/>
        <v>68.400000000000006</v>
      </c>
    </row>
    <row r="37" spans="1:35" ht="15" customHeight="1">
      <c r="A37" s="92"/>
      <c r="B37" s="846"/>
      <c r="C37" s="75" t="s">
        <v>163</v>
      </c>
      <c r="D37" s="40">
        <v>5540</v>
      </c>
      <c r="E37" s="40">
        <v>3591</v>
      </c>
      <c r="F37" s="40">
        <v>4463</v>
      </c>
      <c r="G37" s="40">
        <v>3682</v>
      </c>
      <c r="H37" s="608">
        <v>1160</v>
      </c>
      <c r="I37" s="629">
        <v>282</v>
      </c>
      <c r="J37" s="587">
        <v>0</v>
      </c>
      <c r="K37" s="235">
        <f t="shared" si="51"/>
        <v>-100</v>
      </c>
      <c r="L37" s="359">
        <f t="shared" si="52"/>
        <v>113</v>
      </c>
      <c r="M37" s="359">
        <f t="shared" si="53"/>
        <v>0</v>
      </c>
      <c r="N37" s="571">
        <f t="shared" si="54"/>
        <v>-100</v>
      </c>
      <c r="O37" s="587">
        <v>395</v>
      </c>
      <c r="P37" s="587">
        <v>0</v>
      </c>
      <c r="Q37" s="235">
        <f t="shared" si="55"/>
        <v>-100</v>
      </c>
      <c r="R37" s="359">
        <f t="shared" si="56"/>
        <v>301</v>
      </c>
      <c r="S37" s="359">
        <f t="shared" si="57"/>
        <v>0</v>
      </c>
      <c r="T37" s="235">
        <f t="shared" si="58"/>
        <v>-100</v>
      </c>
      <c r="U37" s="587">
        <v>696</v>
      </c>
      <c r="V37" s="587">
        <v>0</v>
      </c>
      <c r="W37" s="235">
        <f t="shared" si="59"/>
        <v>-100</v>
      </c>
      <c r="X37" s="587">
        <f t="shared" si="67"/>
        <v>69</v>
      </c>
      <c r="Y37" s="587">
        <f t="shared" si="68"/>
        <v>0</v>
      </c>
      <c r="Z37" s="571">
        <f t="shared" si="69"/>
        <v>-100</v>
      </c>
      <c r="AA37" s="629">
        <v>765</v>
      </c>
      <c r="AB37" s="629">
        <v>0</v>
      </c>
      <c r="AC37" s="235">
        <f t="shared" si="62"/>
        <v>-100</v>
      </c>
      <c r="AD37" s="468">
        <f t="shared" si="63"/>
        <v>0</v>
      </c>
      <c r="AE37" s="468">
        <f t="shared" si="64"/>
        <v>0</v>
      </c>
      <c r="AF37" s="579">
        <v>0</v>
      </c>
      <c r="AG37" s="587">
        <v>765</v>
      </c>
      <c r="AH37" s="587">
        <v>0</v>
      </c>
      <c r="AI37" s="235">
        <f t="shared" si="66"/>
        <v>-100</v>
      </c>
    </row>
    <row r="38" spans="1:35" ht="15" customHeight="1">
      <c r="A38" s="92"/>
      <c r="B38" s="846"/>
      <c r="C38" s="75" t="s">
        <v>49</v>
      </c>
      <c r="D38" s="40">
        <v>3941</v>
      </c>
      <c r="E38" s="40">
        <v>3145</v>
      </c>
      <c r="F38" s="40">
        <v>3466</v>
      </c>
      <c r="G38" s="40">
        <v>2306</v>
      </c>
      <c r="H38" s="608">
        <v>635</v>
      </c>
      <c r="I38" s="629">
        <v>42</v>
      </c>
      <c r="J38" s="587">
        <v>0</v>
      </c>
      <c r="K38" s="235">
        <f t="shared" si="51"/>
        <v>-100</v>
      </c>
      <c r="L38" s="359">
        <f t="shared" si="52"/>
        <v>97</v>
      </c>
      <c r="M38" s="359">
        <f t="shared" si="53"/>
        <v>0</v>
      </c>
      <c r="N38" s="571">
        <f t="shared" si="54"/>
        <v>-100</v>
      </c>
      <c r="O38" s="587">
        <v>139</v>
      </c>
      <c r="P38" s="587">
        <v>0</v>
      </c>
      <c r="Q38" s="235">
        <f t="shared" si="55"/>
        <v>-100</v>
      </c>
      <c r="R38" s="359">
        <f t="shared" si="56"/>
        <v>197</v>
      </c>
      <c r="S38" s="359">
        <f t="shared" si="57"/>
        <v>200</v>
      </c>
      <c r="T38" s="235">
        <f t="shared" si="58"/>
        <v>1.5</v>
      </c>
      <c r="U38" s="587">
        <v>336</v>
      </c>
      <c r="V38" s="587">
        <v>200</v>
      </c>
      <c r="W38" s="235">
        <f t="shared" si="59"/>
        <v>-40.5</v>
      </c>
      <c r="X38" s="587">
        <f t="shared" si="67"/>
        <v>0</v>
      </c>
      <c r="Y38" s="587">
        <f t="shared" si="68"/>
        <v>201</v>
      </c>
      <c r="Z38" s="579">
        <v>0</v>
      </c>
      <c r="AA38" s="629">
        <v>336</v>
      </c>
      <c r="AB38" s="629">
        <v>401</v>
      </c>
      <c r="AC38" s="235">
        <f t="shared" si="62"/>
        <v>19.3</v>
      </c>
      <c r="AD38" s="468">
        <f t="shared" si="63"/>
        <v>0</v>
      </c>
      <c r="AE38" s="468">
        <f t="shared" si="64"/>
        <v>298</v>
      </c>
      <c r="AF38" s="579">
        <v>0</v>
      </c>
      <c r="AG38" s="587">
        <v>336</v>
      </c>
      <c r="AH38" s="587">
        <v>699</v>
      </c>
      <c r="AI38" s="235">
        <f t="shared" si="66"/>
        <v>108</v>
      </c>
    </row>
    <row r="39" spans="1:35" ht="15" customHeight="1">
      <c r="A39" s="92"/>
      <c r="B39" s="846"/>
      <c r="C39" s="75" t="s">
        <v>153</v>
      </c>
      <c r="D39" s="40">
        <v>1815</v>
      </c>
      <c r="E39" s="40">
        <v>0</v>
      </c>
      <c r="F39" s="40">
        <v>0</v>
      </c>
      <c r="G39" s="40">
        <v>862</v>
      </c>
      <c r="H39" s="608">
        <v>325</v>
      </c>
      <c r="I39" s="629">
        <v>0</v>
      </c>
      <c r="J39" s="587">
        <v>125</v>
      </c>
      <c r="K39" s="171">
        <v>0</v>
      </c>
      <c r="L39" s="359">
        <f t="shared" si="52"/>
        <v>0</v>
      </c>
      <c r="M39" s="359">
        <f t="shared" si="53"/>
        <v>125</v>
      </c>
      <c r="N39" s="579">
        <v>0</v>
      </c>
      <c r="O39" s="587">
        <v>0</v>
      </c>
      <c r="P39" s="587">
        <v>250</v>
      </c>
      <c r="Q39" s="171">
        <v>0</v>
      </c>
      <c r="R39" s="359">
        <f t="shared" si="56"/>
        <v>0</v>
      </c>
      <c r="S39" s="359">
        <f t="shared" si="57"/>
        <v>0</v>
      </c>
      <c r="T39" s="171">
        <v>0</v>
      </c>
      <c r="U39" s="587">
        <v>0</v>
      </c>
      <c r="V39" s="587">
        <v>250</v>
      </c>
      <c r="W39" s="171">
        <v>0</v>
      </c>
      <c r="X39" s="587">
        <f t="shared" si="67"/>
        <v>0</v>
      </c>
      <c r="Y39" s="587">
        <f t="shared" si="68"/>
        <v>0</v>
      </c>
      <c r="Z39" s="579">
        <v>0</v>
      </c>
      <c r="AA39" s="629">
        <v>0</v>
      </c>
      <c r="AB39" s="629">
        <v>250</v>
      </c>
      <c r="AC39" s="579">
        <v>0</v>
      </c>
      <c r="AD39" s="468">
        <f t="shared" si="63"/>
        <v>0</v>
      </c>
      <c r="AE39" s="468">
        <f t="shared" si="64"/>
        <v>150</v>
      </c>
      <c r="AF39" s="579">
        <v>0</v>
      </c>
      <c r="AG39" s="587">
        <v>0</v>
      </c>
      <c r="AH39" s="587">
        <v>400</v>
      </c>
      <c r="AI39" s="462">
        <v>0</v>
      </c>
    </row>
    <row r="40" spans="1:35" ht="15" customHeight="1">
      <c r="A40" s="92"/>
      <c r="B40" s="846"/>
      <c r="C40" s="75" t="s">
        <v>144</v>
      </c>
      <c r="D40" s="40">
        <v>2763</v>
      </c>
      <c r="E40" s="40">
        <v>0</v>
      </c>
      <c r="F40" s="40">
        <v>0</v>
      </c>
      <c r="G40" s="40">
        <v>7</v>
      </c>
      <c r="H40" s="608">
        <v>26</v>
      </c>
      <c r="I40" s="629">
        <v>0</v>
      </c>
      <c r="J40" s="587">
        <v>0</v>
      </c>
      <c r="K40" s="171">
        <v>0</v>
      </c>
      <c r="L40" s="359">
        <f t="shared" si="52"/>
        <v>0</v>
      </c>
      <c r="M40" s="359">
        <f t="shared" si="53"/>
        <v>0</v>
      </c>
      <c r="N40" s="171">
        <v>0</v>
      </c>
      <c r="O40" s="587">
        <v>0</v>
      </c>
      <c r="P40" s="587">
        <v>0</v>
      </c>
      <c r="Q40" s="171">
        <v>0</v>
      </c>
      <c r="R40" s="359">
        <f t="shared" si="56"/>
        <v>0</v>
      </c>
      <c r="S40" s="359">
        <f t="shared" si="57"/>
        <v>0</v>
      </c>
      <c r="T40" s="171">
        <v>0</v>
      </c>
      <c r="U40" s="587">
        <v>0</v>
      </c>
      <c r="V40" s="587">
        <v>0</v>
      </c>
      <c r="W40" s="171">
        <v>0</v>
      </c>
      <c r="X40" s="587">
        <f t="shared" si="67"/>
        <v>0</v>
      </c>
      <c r="Y40" s="587">
        <f t="shared" si="68"/>
        <v>34</v>
      </c>
      <c r="Z40" s="579">
        <v>0</v>
      </c>
      <c r="AA40" s="629">
        <v>0</v>
      </c>
      <c r="AB40" s="629">
        <v>34</v>
      </c>
      <c r="AC40" s="579">
        <v>0</v>
      </c>
      <c r="AD40" s="468">
        <f t="shared" si="63"/>
        <v>0</v>
      </c>
      <c r="AE40" s="468">
        <f t="shared" si="64"/>
        <v>0</v>
      </c>
      <c r="AF40" s="462">
        <v>0</v>
      </c>
      <c r="AG40" s="587">
        <v>0</v>
      </c>
      <c r="AH40" s="587">
        <v>34</v>
      </c>
      <c r="AI40" s="579">
        <v>0</v>
      </c>
    </row>
    <row r="41" spans="1:35" ht="15" customHeight="1">
      <c r="A41" s="92"/>
      <c r="B41" s="846"/>
      <c r="C41" s="75" t="s">
        <v>149</v>
      </c>
      <c r="D41" s="40">
        <v>48</v>
      </c>
      <c r="E41" s="40">
        <v>1847</v>
      </c>
      <c r="F41" s="40">
        <v>380</v>
      </c>
      <c r="G41" s="40">
        <v>94</v>
      </c>
      <c r="H41" s="608">
        <v>10</v>
      </c>
      <c r="I41" s="629">
        <v>0</v>
      </c>
      <c r="J41" s="587">
        <v>0</v>
      </c>
      <c r="K41" s="171">
        <v>0</v>
      </c>
      <c r="L41" s="359">
        <f t="shared" si="52"/>
        <v>0</v>
      </c>
      <c r="M41" s="359">
        <f t="shared" si="53"/>
        <v>0</v>
      </c>
      <c r="N41" s="171">
        <v>0</v>
      </c>
      <c r="O41" s="587">
        <v>0</v>
      </c>
      <c r="P41" s="587">
        <v>0</v>
      </c>
      <c r="Q41" s="171">
        <v>0</v>
      </c>
      <c r="R41" s="359">
        <f t="shared" si="56"/>
        <v>0</v>
      </c>
      <c r="S41" s="359">
        <f t="shared" si="57"/>
        <v>0</v>
      </c>
      <c r="T41" s="171">
        <v>0</v>
      </c>
      <c r="U41" s="587">
        <v>0</v>
      </c>
      <c r="V41" s="587">
        <v>0</v>
      </c>
      <c r="W41" s="171">
        <v>0</v>
      </c>
      <c r="X41" s="587">
        <f t="shared" si="67"/>
        <v>0</v>
      </c>
      <c r="Y41" s="587">
        <f t="shared" si="68"/>
        <v>0</v>
      </c>
      <c r="Z41" s="579">
        <v>0</v>
      </c>
      <c r="AA41" s="629">
        <v>0</v>
      </c>
      <c r="AB41" s="629">
        <v>0</v>
      </c>
      <c r="AC41" s="579">
        <v>0</v>
      </c>
      <c r="AD41" s="468">
        <f t="shared" si="63"/>
        <v>6</v>
      </c>
      <c r="AE41" s="468">
        <f t="shared" si="64"/>
        <v>0</v>
      </c>
      <c r="AF41" s="571">
        <f t="shared" ref="AF41" si="70">ROUND(((AE41/AD41-1)*100), 1)</f>
        <v>-100</v>
      </c>
      <c r="AG41" s="587">
        <v>6</v>
      </c>
      <c r="AH41" s="587">
        <v>0</v>
      </c>
      <c r="AI41" s="571">
        <f>ROUND(((AH41/AG41-1)*100), 1)</f>
        <v>-100</v>
      </c>
    </row>
    <row r="42" spans="1:35" ht="15" customHeight="1">
      <c r="A42" s="92"/>
      <c r="B42" s="846"/>
      <c r="C42" s="75" t="s">
        <v>158</v>
      </c>
      <c r="D42" s="40">
        <v>0</v>
      </c>
      <c r="E42" s="40">
        <v>695</v>
      </c>
      <c r="F42" s="40">
        <v>698</v>
      </c>
      <c r="G42" s="40">
        <v>0</v>
      </c>
      <c r="H42" s="608">
        <v>0</v>
      </c>
      <c r="I42" s="629">
        <v>0</v>
      </c>
      <c r="J42" s="587">
        <v>0</v>
      </c>
      <c r="K42" s="171">
        <v>0</v>
      </c>
      <c r="L42" s="359">
        <f t="shared" si="52"/>
        <v>0</v>
      </c>
      <c r="M42" s="359">
        <f t="shared" si="53"/>
        <v>0</v>
      </c>
      <c r="N42" s="171">
        <v>0</v>
      </c>
      <c r="O42" s="587">
        <v>0</v>
      </c>
      <c r="P42" s="587">
        <v>0</v>
      </c>
      <c r="Q42" s="171">
        <v>0</v>
      </c>
      <c r="R42" s="359">
        <f t="shared" si="56"/>
        <v>0</v>
      </c>
      <c r="S42" s="359">
        <f t="shared" si="57"/>
        <v>0</v>
      </c>
      <c r="T42" s="171">
        <v>0</v>
      </c>
      <c r="U42" s="587">
        <v>0</v>
      </c>
      <c r="V42" s="587">
        <v>0</v>
      </c>
      <c r="W42" s="171">
        <v>0</v>
      </c>
      <c r="X42" s="468">
        <f t="shared" si="60"/>
        <v>0</v>
      </c>
      <c r="Y42" s="468">
        <f t="shared" si="61"/>
        <v>0</v>
      </c>
      <c r="Z42" s="462">
        <v>0</v>
      </c>
      <c r="AA42" s="629">
        <v>0</v>
      </c>
      <c r="AB42" s="629">
        <v>0</v>
      </c>
      <c r="AC42" s="579">
        <v>0</v>
      </c>
      <c r="AD42" s="468">
        <f t="shared" si="63"/>
        <v>0</v>
      </c>
      <c r="AE42" s="468">
        <f t="shared" si="64"/>
        <v>0</v>
      </c>
      <c r="AF42" s="462">
        <v>0</v>
      </c>
      <c r="AG42" s="587">
        <v>0</v>
      </c>
      <c r="AH42" s="587">
        <v>0</v>
      </c>
      <c r="AI42" s="462">
        <v>0</v>
      </c>
    </row>
    <row r="43" spans="1:35" ht="15" customHeight="1">
      <c r="A43" s="92"/>
      <c r="B43" s="846"/>
      <c r="C43" s="75" t="s">
        <v>167</v>
      </c>
      <c r="D43" s="40">
        <v>0</v>
      </c>
      <c r="E43" s="40">
        <v>1078</v>
      </c>
      <c r="F43" s="40">
        <v>0</v>
      </c>
      <c r="G43" s="40">
        <v>0</v>
      </c>
      <c r="H43" s="608">
        <v>0</v>
      </c>
      <c r="I43" s="629">
        <v>0</v>
      </c>
      <c r="J43" s="587">
        <v>0</v>
      </c>
      <c r="K43" s="171">
        <v>0</v>
      </c>
      <c r="L43" s="359">
        <f t="shared" si="52"/>
        <v>0</v>
      </c>
      <c r="M43" s="359">
        <f t="shared" si="53"/>
        <v>0</v>
      </c>
      <c r="N43" s="171">
        <v>0</v>
      </c>
      <c r="O43" s="587">
        <v>0</v>
      </c>
      <c r="P43" s="587">
        <v>0</v>
      </c>
      <c r="Q43" s="171">
        <v>0</v>
      </c>
      <c r="R43" s="359">
        <f t="shared" si="56"/>
        <v>0</v>
      </c>
      <c r="S43" s="359">
        <f t="shared" si="57"/>
        <v>0</v>
      </c>
      <c r="T43" s="171">
        <v>0</v>
      </c>
      <c r="U43" s="587">
        <v>0</v>
      </c>
      <c r="V43" s="587">
        <v>0</v>
      </c>
      <c r="W43" s="171">
        <v>0</v>
      </c>
      <c r="X43" s="468">
        <f t="shared" si="60"/>
        <v>0</v>
      </c>
      <c r="Y43" s="468">
        <f t="shared" si="61"/>
        <v>0</v>
      </c>
      <c r="Z43" s="462">
        <v>0</v>
      </c>
      <c r="AA43" s="629">
        <v>0</v>
      </c>
      <c r="AB43" s="629">
        <v>0</v>
      </c>
      <c r="AC43" s="462">
        <v>0</v>
      </c>
      <c r="AD43" s="468">
        <f t="shared" si="63"/>
        <v>0</v>
      </c>
      <c r="AE43" s="468">
        <f t="shared" si="64"/>
        <v>0</v>
      </c>
      <c r="AF43" s="462">
        <v>0</v>
      </c>
      <c r="AG43" s="587">
        <v>0</v>
      </c>
      <c r="AH43" s="587">
        <v>0</v>
      </c>
      <c r="AI43" s="579">
        <v>0</v>
      </c>
    </row>
    <row r="44" spans="1:35" ht="15" customHeight="1">
      <c r="A44" s="92"/>
      <c r="B44" s="846"/>
      <c r="C44" s="75" t="s">
        <v>164</v>
      </c>
      <c r="D44" s="40">
        <f t="shared" ref="D44:J44" si="71">D45-SUM(D31:D43)</f>
        <v>0</v>
      </c>
      <c r="E44" s="40">
        <f t="shared" si="71"/>
        <v>58</v>
      </c>
      <c r="F44" s="40">
        <f t="shared" si="71"/>
        <v>4</v>
      </c>
      <c r="G44" s="40">
        <f t="shared" si="71"/>
        <v>0</v>
      </c>
      <c r="H44" s="608">
        <f t="shared" si="71"/>
        <v>36</v>
      </c>
      <c r="I44" s="629">
        <f t="shared" si="71"/>
        <v>4</v>
      </c>
      <c r="J44" s="587">
        <f t="shared" si="71"/>
        <v>0</v>
      </c>
      <c r="K44" s="525">
        <f t="shared" ref="K44" si="72">ROUND(((J44/I44-1)*100), 1)</f>
        <v>-100</v>
      </c>
      <c r="L44" s="359">
        <f>L45-SUM(L31:L43)</f>
        <v>1</v>
      </c>
      <c r="M44" s="359">
        <f>M45-SUM(M31:M43)</f>
        <v>0</v>
      </c>
      <c r="N44" s="235">
        <f>ROUND(((M44/L44-1)*100), 1)</f>
        <v>-100</v>
      </c>
      <c r="O44" s="587">
        <f>O45-SUM(O31:O43)</f>
        <v>5</v>
      </c>
      <c r="P44" s="587">
        <f>P45-SUM(P31:P43)</f>
        <v>0</v>
      </c>
      <c r="Q44" s="235">
        <f>ROUND(((P44/O44-1)*100), 1)</f>
        <v>-100</v>
      </c>
      <c r="R44" s="359">
        <f>R45-SUM(R31:R43)</f>
        <v>0</v>
      </c>
      <c r="S44" s="359">
        <f>S45-SUM(S31:S43)</f>
        <v>0</v>
      </c>
      <c r="T44" s="171">
        <v>0</v>
      </c>
      <c r="U44" s="587">
        <f>U45-SUM(U31:U43)</f>
        <v>5</v>
      </c>
      <c r="V44" s="587">
        <f>V45-SUM(V31:V43)</f>
        <v>0</v>
      </c>
      <c r="W44" s="172">
        <v>0</v>
      </c>
      <c r="X44" s="468">
        <f>X45-SUM(X31:X43)</f>
        <v>0</v>
      </c>
      <c r="Y44" s="468">
        <f>Y45-SUM(Y31:Y43)</f>
        <v>0</v>
      </c>
      <c r="Z44" s="463">
        <v>0</v>
      </c>
      <c r="AA44" s="629">
        <f>AA45-SUM(AA31:AA43)</f>
        <v>5</v>
      </c>
      <c r="AB44" s="629">
        <f>AB45-SUM(AB31:AB43)</f>
        <v>0</v>
      </c>
      <c r="AC44" s="463">
        <v>0</v>
      </c>
      <c r="AD44" s="468">
        <f>AD45-SUM(AD31:AD43)</f>
        <v>8</v>
      </c>
      <c r="AE44" s="468">
        <f>AE45-SUM(AE31:AE43)</f>
        <v>0</v>
      </c>
      <c r="AF44" s="525">
        <f t="shared" ref="AF44" si="73">ROUND(((AE44/AD44-1)*100), 1)</f>
        <v>-100</v>
      </c>
      <c r="AG44" s="587">
        <f>AG45-SUM(AG31:AG43)</f>
        <v>13</v>
      </c>
      <c r="AH44" s="587">
        <f>AH45-SUM(AH31:AH43)</f>
        <v>0</v>
      </c>
      <c r="AI44" s="571">
        <f t="shared" ref="AI44" si="74">ROUND(((AH44/AG44-1)*100), 1)</f>
        <v>-100</v>
      </c>
    </row>
    <row r="45" spans="1:35" ht="15" customHeight="1">
      <c r="A45" s="92"/>
      <c r="B45" s="846"/>
      <c r="C45" s="160" t="s">
        <v>272</v>
      </c>
      <c r="D45" s="42">
        <v>72312</v>
      </c>
      <c r="E45" s="42">
        <v>66659</v>
      </c>
      <c r="F45" s="50">
        <v>66420</v>
      </c>
      <c r="G45" s="42">
        <v>79765</v>
      </c>
      <c r="H45" s="609">
        <v>63943</v>
      </c>
      <c r="I45" s="631">
        <v>6680</v>
      </c>
      <c r="J45" s="585">
        <v>5743</v>
      </c>
      <c r="K45" s="236">
        <f>ROUND(((J45/I45-1)*100), 1)</f>
        <v>-14</v>
      </c>
      <c r="L45" s="376">
        <f>O45-I45</f>
        <v>6441</v>
      </c>
      <c r="M45" s="376">
        <f>P45-J45</f>
        <v>5293</v>
      </c>
      <c r="N45" s="236">
        <f>ROUND(((M45/L45-1)*100), 1)</f>
        <v>-17.8</v>
      </c>
      <c r="O45" s="585">
        <v>13121</v>
      </c>
      <c r="P45" s="585">
        <v>11036</v>
      </c>
      <c r="Q45" s="236">
        <f>ROUND(((P45/O45-1)*100), 1)</f>
        <v>-15.9</v>
      </c>
      <c r="R45" s="376">
        <f>U45-O45</f>
        <v>5545</v>
      </c>
      <c r="S45" s="376">
        <f>V45-P45</f>
        <v>6850</v>
      </c>
      <c r="T45" s="236">
        <f>ROUND(((S45/R45-1)*100), 1)</f>
        <v>23.5</v>
      </c>
      <c r="U45" s="585">
        <v>18666</v>
      </c>
      <c r="V45" s="585">
        <v>17886</v>
      </c>
      <c r="W45" s="236">
        <f>ROUND(((V45/U45-1)*100), 1)</f>
        <v>-4.2</v>
      </c>
      <c r="X45" s="376">
        <f>AA45-U45</f>
        <v>3172</v>
      </c>
      <c r="Y45" s="376">
        <f>AB45-V45</f>
        <v>7898</v>
      </c>
      <c r="Z45" s="236">
        <f>ROUND(((Y45/X45-1)*100), 1)</f>
        <v>149</v>
      </c>
      <c r="AA45" s="631">
        <v>21838</v>
      </c>
      <c r="AB45" s="631">
        <v>25784</v>
      </c>
      <c r="AC45" s="236">
        <f>ROUND(((AB45/AA45-1)*100), 1)</f>
        <v>18.100000000000001</v>
      </c>
      <c r="AD45" s="376">
        <f>AG45-AA45</f>
        <v>2336</v>
      </c>
      <c r="AE45" s="376">
        <f>AH45-AB45</f>
        <v>6568</v>
      </c>
      <c r="AF45" s="236">
        <f>ROUND(((AE45/AD45-1)*100), 1)</f>
        <v>181.2</v>
      </c>
      <c r="AG45" s="585">
        <v>24174</v>
      </c>
      <c r="AH45" s="585">
        <v>32352</v>
      </c>
      <c r="AI45" s="236">
        <f>ROUND(((AH45/AG45-1)*100), 1)</f>
        <v>33.799999999999997</v>
      </c>
    </row>
    <row r="46" spans="1:35" ht="15" customHeight="1">
      <c r="A46" s="93"/>
      <c r="B46" s="844" t="s">
        <v>171</v>
      </c>
      <c r="C46" s="828"/>
      <c r="D46" s="42">
        <f t="shared" ref="D46:J46" si="75">SUM(D30+D45)</f>
        <v>380255</v>
      </c>
      <c r="E46" s="42">
        <f t="shared" si="75"/>
        <v>338933</v>
      </c>
      <c r="F46" s="42">
        <f t="shared" si="75"/>
        <v>353256</v>
      </c>
      <c r="G46" s="42">
        <f t="shared" si="75"/>
        <v>350431</v>
      </c>
      <c r="H46" s="609">
        <f t="shared" si="75"/>
        <v>326775</v>
      </c>
      <c r="I46" s="632">
        <f t="shared" si="75"/>
        <v>35142</v>
      </c>
      <c r="J46" s="582">
        <f t="shared" si="75"/>
        <v>21845</v>
      </c>
      <c r="K46" s="236">
        <f>ROUND(((J46/I46-1)*100), 1)</f>
        <v>-37.799999999999997</v>
      </c>
      <c r="L46" s="377">
        <f>SUM(L30+L45)</f>
        <v>24520</v>
      </c>
      <c r="M46" s="280">
        <f>SUM(M30+M45)</f>
        <v>29683</v>
      </c>
      <c r="N46" s="236">
        <f>ROUND(((M46/L46-1)*100), 1)</f>
        <v>21.1</v>
      </c>
      <c r="O46" s="582">
        <f>SUM(O30+O45)</f>
        <v>59662</v>
      </c>
      <c r="P46" s="582">
        <f>SUM(P30+P45)</f>
        <v>51528</v>
      </c>
      <c r="Q46" s="236">
        <f>ROUND(((P46/O46-1)*100), 1)</f>
        <v>-13.6</v>
      </c>
      <c r="R46" s="377">
        <f>SUM(R30+R45)</f>
        <v>29977</v>
      </c>
      <c r="S46" s="280">
        <f>SUM(S30+S45)</f>
        <v>19782</v>
      </c>
      <c r="T46" s="236">
        <f>ROUND(((S46/R46-1)*100), 1)</f>
        <v>-34</v>
      </c>
      <c r="U46" s="582">
        <f>SUM(U30+U45)</f>
        <v>89639</v>
      </c>
      <c r="V46" s="582">
        <f>SUM(V30+V45)</f>
        <v>71310</v>
      </c>
      <c r="W46" s="236">
        <f>ROUND(((V46/U46-1)*100), 1)</f>
        <v>-20.399999999999999</v>
      </c>
      <c r="X46" s="377">
        <f>SUM(X30+X45)</f>
        <v>29045</v>
      </c>
      <c r="Y46" s="280">
        <f>SUM(Y30+Y45)</f>
        <v>36763</v>
      </c>
      <c r="Z46" s="236">
        <f>ROUND(((Y46/X46-1)*100), 1)</f>
        <v>26.6</v>
      </c>
      <c r="AA46" s="632">
        <f>SUM(AA30+AA45)</f>
        <v>118684</v>
      </c>
      <c r="AB46" s="632">
        <f>SUM(AB30+AB45)</f>
        <v>108073</v>
      </c>
      <c r="AC46" s="236">
        <f>ROUND(((AB46/AA46-1)*100), 1)</f>
        <v>-8.9</v>
      </c>
      <c r="AD46" s="377">
        <f>SUM(AD30+AD45)</f>
        <v>19351</v>
      </c>
      <c r="AE46" s="280">
        <f>SUM(AE30+AE45)</f>
        <v>26569</v>
      </c>
      <c r="AF46" s="236">
        <f>ROUND(((AE46/AD46-1)*100), 1)</f>
        <v>37.299999999999997</v>
      </c>
      <c r="AG46" s="582">
        <f>SUM(AG30+AG45)</f>
        <v>138035</v>
      </c>
      <c r="AH46" s="582">
        <f>SUM(AH30+AH45)</f>
        <v>134642</v>
      </c>
      <c r="AI46" s="236">
        <f>ROUND(((AH46/AG46-1)*100), 1)</f>
        <v>-2.5</v>
      </c>
    </row>
    <row r="47" spans="1:35" ht="15" customHeight="1">
      <c r="A47" s="89"/>
      <c r="B47" s="845" t="s">
        <v>317</v>
      </c>
      <c r="C47" s="75" t="s">
        <v>45</v>
      </c>
      <c r="D47" s="40">
        <v>7117</v>
      </c>
      <c r="E47" s="40">
        <v>17339</v>
      </c>
      <c r="F47" s="40">
        <v>53169</v>
      </c>
      <c r="G47" s="40">
        <v>43488</v>
      </c>
      <c r="H47" s="608">
        <v>41074</v>
      </c>
      <c r="I47" s="629">
        <v>3397</v>
      </c>
      <c r="J47" s="587">
        <v>5804</v>
      </c>
      <c r="K47" s="235">
        <f>ROUND(((J47/I47-1)*100), 1)</f>
        <v>70.900000000000006</v>
      </c>
      <c r="L47" s="359">
        <f t="shared" ref="L47:M48" si="76">O47-I47</f>
        <v>2153</v>
      </c>
      <c r="M47" s="359">
        <f t="shared" si="76"/>
        <v>3400</v>
      </c>
      <c r="N47" s="235">
        <f>ROUND(((M47/L47-1)*100), 1)</f>
        <v>57.9</v>
      </c>
      <c r="O47" s="587">
        <v>5550</v>
      </c>
      <c r="P47" s="587">
        <v>9204</v>
      </c>
      <c r="Q47" s="235">
        <f>ROUND(((P47/O47-1)*100), 1)</f>
        <v>65.8</v>
      </c>
      <c r="R47" s="359">
        <f t="shared" ref="R47:S48" si="77">U47-O47</f>
        <v>2963</v>
      </c>
      <c r="S47" s="359">
        <f t="shared" si="77"/>
        <v>8166</v>
      </c>
      <c r="T47" s="235">
        <f>ROUND(((S47/R47-1)*100), 1)</f>
        <v>175.6</v>
      </c>
      <c r="U47" s="587">
        <v>8513</v>
      </c>
      <c r="V47" s="587">
        <v>17370</v>
      </c>
      <c r="W47" s="235">
        <f>ROUND(((V47/U47-1)*100), 1)</f>
        <v>104</v>
      </c>
      <c r="X47" s="468">
        <f t="shared" ref="X47:Y49" si="78">AA47-U47</f>
        <v>1739</v>
      </c>
      <c r="Y47" s="468">
        <f t="shared" si="78"/>
        <v>4137</v>
      </c>
      <c r="Z47" s="235">
        <f>ROUND(((Y47/X47-1)*100), 1)</f>
        <v>137.9</v>
      </c>
      <c r="AA47" s="629">
        <v>10252</v>
      </c>
      <c r="AB47" s="629">
        <v>21507</v>
      </c>
      <c r="AC47" s="235">
        <f>ROUND(((AB47/AA47-1)*100), 1)</f>
        <v>109.8</v>
      </c>
      <c r="AD47" s="468">
        <f t="shared" ref="AD47:AE48" si="79">AG47-AA47</f>
        <v>1757</v>
      </c>
      <c r="AE47" s="468">
        <f t="shared" si="79"/>
        <v>5348</v>
      </c>
      <c r="AF47" s="235">
        <f>ROUND(((AE47/AD47-1)*100), 1)</f>
        <v>204.4</v>
      </c>
      <c r="AG47" s="587">
        <v>12009</v>
      </c>
      <c r="AH47" s="587">
        <v>26855</v>
      </c>
      <c r="AI47" s="235">
        <f>ROUND(((AH47/AG47-1)*100), 1)</f>
        <v>123.6</v>
      </c>
    </row>
    <row r="48" spans="1:35" ht="15" customHeight="1">
      <c r="A48" s="92" t="s">
        <v>172</v>
      </c>
      <c r="B48" s="846"/>
      <c r="C48" s="75" t="s">
        <v>173</v>
      </c>
      <c r="D48" s="40">
        <v>16272</v>
      </c>
      <c r="E48" s="40">
        <v>14817</v>
      </c>
      <c r="F48" s="40">
        <v>14128</v>
      </c>
      <c r="G48" s="40">
        <v>10004</v>
      </c>
      <c r="H48" s="608">
        <v>10367</v>
      </c>
      <c r="I48" s="629">
        <v>1243</v>
      </c>
      <c r="J48" s="587">
        <v>474</v>
      </c>
      <c r="K48" s="235">
        <f>ROUND(((J48/I48-1)*100), 1)</f>
        <v>-61.9</v>
      </c>
      <c r="L48" s="359">
        <f t="shared" si="76"/>
        <v>1291</v>
      </c>
      <c r="M48" s="359">
        <f t="shared" si="76"/>
        <v>371</v>
      </c>
      <c r="N48" s="571">
        <f>ROUND(((M48/L48-1)*100), 1)</f>
        <v>-71.3</v>
      </c>
      <c r="O48" s="587">
        <v>2534</v>
      </c>
      <c r="P48" s="587">
        <v>845</v>
      </c>
      <c r="Q48" s="571">
        <f>ROUND(((P48/O48-1)*100), 1)</f>
        <v>-66.7</v>
      </c>
      <c r="R48" s="359">
        <f t="shared" si="77"/>
        <v>1807</v>
      </c>
      <c r="S48" s="359">
        <f t="shared" si="77"/>
        <v>450</v>
      </c>
      <c r="T48" s="235">
        <f>ROUND(((S48/R48-1)*100), 1)</f>
        <v>-75.099999999999994</v>
      </c>
      <c r="U48" s="587">
        <v>4341</v>
      </c>
      <c r="V48" s="587">
        <v>1295</v>
      </c>
      <c r="W48" s="235">
        <f>ROUND(((V48/U48-1)*100), 1)</f>
        <v>-70.2</v>
      </c>
      <c r="X48" s="468">
        <f t="shared" si="78"/>
        <v>922</v>
      </c>
      <c r="Y48" s="468">
        <f t="shared" si="78"/>
        <v>399</v>
      </c>
      <c r="Z48" s="235">
        <f>ROUND(((Y48/X48-1)*100), 1)</f>
        <v>-56.7</v>
      </c>
      <c r="AA48" s="629">
        <v>5263</v>
      </c>
      <c r="AB48" s="629">
        <v>1694</v>
      </c>
      <c r="AC48" s="235">
        <f>ROUND(((AB48/AA48-1)*100), 1)</f>
        <v>-67.8</v>
      </c>
      <c r="AD48" s="468">
        <f t="shared" si="79"/>
        <v>1271</v>
      </c>
      <c r="AE48" s="468">
        <f t="shared" si="79"/>
        <v>200</v>
      </c>
      <c r="AF48" s="235">
        <f>ROUND(((AE48/AD48-1)*100), 1)</f>
        <v>-84.3</v>
      </c>
      <c r="AG48" s="587">
        <v>6534</v>
      </c>
      <c r="AH48" s="587">
        <v>1894</v>
      </c>
      <c r="AI48" s="235">
        <f>ROUND(((AH48/AG48-1)*100), 1)</f>
        <v>-71</v>
      </c>
    </row>
    <row r="49" spans="1:35" ht="15" customHeight="1">
      <c r="A49" s="92"/>
      <c r="B49" s="846"/>
      <c r="C49" s="75" t="s">
        <v>79</v>
      </c>
      <c r="D49" s="40">
        <v>18065</v>
      </c>
      <c r="E49" s="40">
        <v>4054</v>
      </c>
      <c r="F49" s="40">
        <v>1548</v>
      </c>
      <c r="G49" s="40">
        <v>3246</v>
      </c>
      <c r="H49" s="608">
        <v>10093</v>
      </c>
      <c r="I49" s="629">
        <v>0</v>
      </c>
      <c r="J49" s="587">
        <v>682</v>
      </c>
      <c r="K49" s="579">
        <v>0</v>
      </c>
      <c r="L49" s="587">
        <f t="shared" ref="L49:L64" si="80">O49-I49</f>
        <v>349</v>
      </c>
      <c r="M49" s="587">
        <f t="shared" ref="M49:M64" si="81">P49-J49</f>
        <v>0</v>
      </c>
      <c r="N49" s="571">
        <f t="shared" ref="N49:N56" si="82">ROUND(((M49/L49-1)*100), 1)</f>
        <v>-100</v>
      </c>
      <c r="O49" s="587">
        <v>349</v>
      </c>
      <c r="P49" s="587">
        <v>682</v>
      </c>
      <c r="Q49" s="571">
        <f t="shared" ref="Q49:Q66" si="83">ROUND(((P49/O49-1)*100), 1)</f>
        <v>95.4</v>
      </c>
      <c r="R49" s="587">
        <f t="shared" ref="R49:R65" si="84">U49-O49</f>
        <v>0</v>
      </c>
      <c r="S49" s="587">
        <f t="shared" ref="S49:S65" si="85">V49-P49</f>
        <v>720</v>
      </c>
      <c r="T49" s="579">
        <v>0</v>
      </c>
      <c r="U49" s="587">
        <v>349</v>
      </c>
      <c r="V49" s="587">
        <v>1402</v>
      </c>
      <c r="W49" s="571">
        <f t="shared" ref="W49:W66" si="86">ROUND(((V49/U49-1)*100), 1)</f>
        <v>301.7</v>
      </c>
      <c r="X49" s="468">
        <f t="shared" si="78"/>
        <v>0</v>
      </c>
      <c r="Y49" s="468">
        <f t="shared" si="78"/>
        <v>771</v>
      </c>
      <c r="Z49" s="579">
        <v>0</v>
      </c>
      <c r="AA49" s="629">
        <v>349</v>
      </c>
      <c r="AB49" s="629">
        <v>2173</v>
      </c>
      <c r="AC49" s="235">
        <f>ROUND(((AB49/AA49-1)*100), 1)</f>
        <v>522.6</v>
      </c>
      <c r="AD49" s="587">
        <f t="shared" ref="AD49:AD64" si="87">AG49-AA49</f>
        <v>990</v>
      </c>
      <c r="AE49" s="587">
        <f t="shared" ref="AE49:AE64" si="88">AH49-AB49</f>
        <v>493</v>
      </c>
      <c r="AF49" s="571">
        <f t="shared" ref="AF49:AF58" si="89">ROUND(((AE49/AD49-1)*100), 1)</f>
        <v>-50.2</v>
      </c>
      <c r="AG49" s="587">
        <v>1339</v>
      </c>
      <c r="AH49" s="587">
        <v>2666</v>
      </c>
      <c r="AI49" s="235">
        <f>ROUND(((AH49/AG49-1)*100), 1)</f>
        <v>99.1</v>
      </c>
    </row>
    <row r="50" spans="1:35" ht="15" customHeight="1">
      <c r="A50" s="92"/>
      <c r="B50" s="846"/>
      <c r="C50" s="75" t="s">
        <v>178</v>
      </c>
      <c r="D50" s="40">
        <v>25</v>
      </c>
      <c r="E50" s="40">
        <v>357</v>
      </c>
      <c r="F50" s="40">
        <v>0</v>
      </c>
      <c r="G50" s="40">
        <v>300</v>
      </c>
      <c r="H50" s="608">
        <v>8684</v>
      </c>
      <c r="I50" s="629">
        <v>0</v>
      </c>
      <c r="J50" s="587">
        <v>943</v>
      </c>
      <c r="K50" s="579">
        <v>0</v>
      </c>
      <c r="L50" s="587">
        <f t="shared" si="80"/>
        <v>0</v>
      </c>
      <c r="M50" s="587">
        <f t="shared" si="81"/>
        <v>446</v>
      </c>
      <c r="N50" s="579">
        <v>0</v>
      </c>
      <c r="O50" s="587">
        <v>0</v>
      </c>
      <c r="P50" s="587">
        <v>1389</v>
      </c>
      <c r="Q50" s="579">
        <v>0</v>
      </c>
      <c r="R50" s="587">
        <f t="shared" si="84"/>
        <v>0</v>
      </c>
      <c r="S50" s="587">
        <f t="shared" si="85"/>
        <v>789</v>
      </c>
      <c r="T50" s="579">
        <v>0</v>
      </c>
      <c r="U50" s="587">
        <v>0</v>
      </c>
      <c r="V50" s="587">
        <v>2178</v>
      </c>
      <c r="W50" s="579">
        <v>0</v>
      </c>
      <c r="X50" s="587">
        <f t="shared" ref="X50:X64" si="90">AA50-U50</f>
        <v>0</v>
      </c>
      <c r="Y50" s="587">
        <f t="shared" ref="Y50:Y64" si="91">AB50-V50</f>
        <v>667</v>
      </c>
      <c r="Z50" s="579">
        <v>0</v>
      </c>
      <c r="AA50" s="629">
        <v>0</v>
      </c>
      <c r="AB50" s="629">
        <v>2845</v>
      </c>
      <c r="AC50" s="579">
        <v>0</v>
      </c>
      <c r="AD50" s="587">
        <f t="shared" si="87"/>
        <v>0</v>
      </c>
      <c r="AE50" s="587">
        <f t="shared" si="88"/>
        <v>813</v>
      </c>
      <c r="AF50" s="579">
        <v>0</v>
      </c>
      <c r="AG50" s="587">
        <v>0</v>
      </c>
      <c r="AH50" s="587">
        <v>3658</v>
      </c>
      <c r="AI50" s="579">
        <v>0</v>
      </c>
    </row>
    <row r="51" spans="1:35" ht="15" customHeight="1">
      <c r="A51" s="92"/>
      <c r="B51" s="846"/>
      <c r="C51" s="75" t="s">
        <v>174</v>
      </c>
      <c r="D51" s="40">
        <v>19897</v>
      </c>
      <c r="E51" s="40">
        <v>8806</v>
      </c>
      <c r="F51" s="40">
        <v>5217</v>
      </c>
      <c r="G51" s="40">
        <v>976</v>
      </c>
      <c r="H51" s="608">
        <v>4847</v>
      </c>
      <c r="I51" s="629">
        <v>1036</v>
      </c>
      <c r="J51" s="587">
        <v>0</v>
      </c>
      <c r="K51" s="571">
        <f t="shared" ref="K51:K54" si="92">ROUND(((J51/I51-1)*100), 1)</f>
        <v>-100</v>
      </c>
      <c r="L51" s="587">
        <f t="shared" si="80"/>
        <v>0</v>
      </c>
      <c r="M51" s="587">
        <f t="shared" si="81"/>
        <v>0</v>
      </c>
      <c r="N51" s="579">
        <v>0</v>
      </c>
      <c r="O51" s="587">
        <v>1036</v>
      </c>
      <c r="P51" s="587">
        <v>0</v>
      </c>
      <c r="Q51" s="571">
        <f t="shared" si="83"/>
        <v>-100</v>
      </c>
      <c r="R51" s="587">
        <f t="shared" si="84"/>
        <v>0</v>
      </c>
      <c r="S51" s="587">
        <f t="shared" si="85"/>
        <v>0</v>
      </c>
      <c r="T51" s="579">
        <v>0</v>
      </c>
      <c r="U51" s="587">
        <v>1036</v>
      </c>
      <c r="V51" s="587">
        <v>0</v>
      </c>
      <c r="W51" s="571">
        <f t="shared" si="86"/>
        <v>-100</v>
      </c>
      <c r="X51" s="587">
        <f t="shared" si="90"/>
        <v>0</v>
      </c>
      <c r="Y51" s="587">
        <f t="shared" si="91"/>
        <v>0</v>
      </c>
      <c r="Z51" s="579">
        <v>0</v>
      </c>
      <c r="AA51" s="629">
        <v>1036</v>
      </c>
      <c r="AB51" s="629">
        <v>0</v>
      </c>
      <c r="AC51" s="571">
        <f t="shared" ref="AC51:AC64" si="93">ROUND(((AB51/AA51-1)*100), 1)</f>
        <v>-100</v>
      </c>
      <c r="AD51" s="587">
        <f t="shared" si="87"/>
        <v>0</v>
      </c>
      <c r="AE51" s="587">
        <f t="shared" si="88"/>
        <v>0</v>
      </c>
      <c r="AF51" s="579">
        <v>0</v>
      </c>
      <c r="AG51" s="587">
        <v>1036</v>
      </c>
      <c r="AH51" s="587">
        <v>0</v>
      </c>
      <c r="AI51" s="235">
        <f>ROUND(((AH51/AG51-1)*100), 1)</f>
        <v>-100</v>
      </c>
    </row>
    <row r="52" spans="1:35" ht="15" customHeight="1">
      <c r="A52" s="92"/>
      <c r="B52" s="846"/>
      <c r="C52" s="75" t="s">
        <v>160</v>
      </c>
      <c r="D52" s="608">
        <v>1819</v>
      </c>
      <c r="E52" s="608">
        <v>3074</v>
      </c>
      <c r="F52" s="608">
        <v>43</v>
      </c>
      <c r="G52" s="40">
        <v>2198</v>
      </c>
      <c r="H52" s="608">
        <v>4555</v>
      </c>
      <c r="I52" s="629">
        <v>0</v>
      </c>
      <c r="J52" s="587">
        <v>331</v>
      </c>
      <c r="K52" s="579">
        <v>0</v>
      </c>
      <c r="L52" s="587">
        <f t="shared" si="80"/>
        <v>0</v>
      </c>
      <c r="M52" s="587">
        <f t="shared" si="81"/>
        <v>2361</v>
      </c>
      <c r="N52" s="579">
        <v>0</v>
      </c>
      <c r="O52" s="587">
        <v>0</v>
      </c>
      <c r="P52" s="587">
        <v>2692</v>
      </c>
      <c r="Q52" s="579">
        <v>0</v>
      </c>
      <c r="R52" s="587">
        <f t="shared" si="84"/>
        <v>491</v>
      </c>
      <c r="S52" s="587">
        <f t="shared" si="85"/>
        <v>857</v>
      </c>
      <c r="T52" s="571">
        <f t="shared" ref="T52:T59" si="94">ROUND(((S52/R52-1)*100), 1)</f>
        <v>74.5</v>
      </c>
      <c r="U52" s="587">
        <v>491</v>
      </c>
      <c r="V52" s="587">
        <v>3549</v>
      </c>
      <c r="W52" s="571">
        <f t="shared" si="86"/>
        <v>622.79999999999995</v>
      </c>
      <c r="X52" s="587">
        <f t="shared" si="90"/>
        <v>494</v>
      </c>
      <c r="Y52" s="587">
        <f t="shared" si="91"/>
        <v>1725</v>
      </c>
      <c r="Z52" s="571">
        <f t="shared" ref="Z52:Z64" si="95">ROUND(((Y52/X52-1)*100), 1)</f>
        <v>249.2</v>
      </c>
      <c r="AA52" s="629">
        <v>985</v>
      </c>
      <c r="AB52" s="629">
        <v>5274</v>
      </c>
      <c r="AC52" s="571">
        <f t="shared" si="93"/>
        <v>435.4</v>
      </c>
      <c r="AD52" s="587">
        <f t="shared" si="87"/>
        <v>0</v>
      </c>
      <c r="AE52" s="587">
        <f t="shared" si="88"/>
        <v>191</v>
      </c>
      <c r="AF52" s="579">
        <v>0</v>
      </c>
      <c r="AG52" s="587">
        <v>985</v>
      </c>
      <c r="AH52" s="587">
        <v>5465</v>
      </c>
      <c r="AI52" s="571">
        <f>ROUND(((AH52/AG52-1)*100), 1)</f>
        <v>454.8</v>
      </c>
    </row>
    <row r="53" spans="1:35" s="605" customFormat="1" ht="15" customHeight="1">
      <c r="A53" s="676"/>
      <c r="B53" s="846"/>
      <c r="C53" s="75" t="s">
        <v>518</v>
      </c>
      <c r="D53" s="608">
        <v>0</v>
      </c>
      <c r="E53" s="608">
        <v>0</v>
      </c>
      <c r="F53" s="608">
        <v>0</v>
      </c>
      <c r="G53" s="608">
        <v>0</v>
      </c>
      <c r="H53" s="608">
        <v>4504</v>
      </c>
      <c r="I53" s="629">
        <v>0</v>
      </c>
      <c r="J53" s="587">
        <v>310</v>
      </c>
      <c r="K53" s="579">
        <v>0</v>
      </c>
      <c r="L53" s="587">
        <f t="shared" si="80"/>
        <v>0</v>
      </c>
      <c r="M53" s="587">
        <f t="shared" si="81"/>
        <v>781</v>
      </c>
      <c r="N53" s="579">
        <v>0</v>
      </c>
      <c r="O53" s="587">
        <v>0</v>
      </c>
      <c r="P53" s="587">
        <v>1091</v>
      </c>
      <c r="Q53" s="579">
        <v>0</v>
      </c>
      <c r="R53" s="587">
        <f t="shared" si="84"/>
        <v>0</v>
      </c>
      <c r="S53" s="587">
        <f t="shared" si="85"/>
        <v>510</v>
      </c>
      <c r="T53" s="579">
        <v>0</v>
      </c>
      <c r="U53" s="587">
        <v>0</v>
      </c>
      <c r="V53" s="587">
        <v>1601</v>
      </c>
      <c r="W53" s="579">
        <v>0</v>
      </c>
      <c r="X53" s="587">
        <f t="shared" si="90"/>
        <v>1084</v>
      </c>
      <c r="Y53" s="587">
        <f t="shared" si="91"/>
        <v>474</v>
      </c>
      <c r="Z53" s="571">
        <f t="shared" si="95"/>
        <v>-56.3</v>
      </c>
      <c r="AA53" s="629">
        <v>1084</v>
      </c>
      <c r="AB53" s="629">
        <v>2075</v>
      </c>
      <c r="AC53" s="571">
        <f t="shared" si="93"/>
        <v>91.4</v>
      </c>
      <c r="AD53" s="587">
        <f t="shared" si="87"/>
        <v>0</v>
      </c>
      <c r="AE53" s="587">
        <f t="shared" si="88"/>
        <v>0</v>
      </c>
      <c r="AF53" s="579">
        <v>0</v>
      </c>
      <c r="AG53" s="587">
        <v>1084</v>
      </c>
      <c r="AH53" s="587">
        <v>2075</v>
      </c>
      <c r="AI53" s="571">
        <f>ROUND(((AH53/AG53-1)*100), 1)</f>
        <v>91.4</v>
      </c>
    </row>
    <row r="54" spans="1:35" s="167" customFormat="1" ht="15" customHeight="1">
      <c r="A54" s="322"/>
      <c r="B54" s="846"/>
      <c r="C54" s="75" t="s">
        <v>176</v>
      </c>
      <c r="D54" s="40">
        <v>9463</v>
      </c>
      <c r="E54" s="40">
        <v>5829</v>
      </c>
      <c r="F54" s="40">
        <v>905</v>
      </c>
      <c r="G54" s="40">
        <v>2386</v>
      </c>
      <c r="H54" s="608">
        <v>3751</v>
      </c>
      <c r="I54" s="629">
        <v>446</v>
      </c>
      <c r="J54" s="587">
        <v>248</v>
      </c>
      <c r="K54" s="571">
        <f t="shared" si="92"/>
        <v>-44.4</v>
      </c>
      <c r="L54" s="587">
        <f t="shared" si="80"/>
        <v>374</v>
      </c>
      <c r="M54" s="587">
        <f t="shared" si="81"/>
        <v>99</v>
      </c>
      <c r="N54" s="571">
        <f t="shared" si="82"/>
        <v>-73.5</v>
      </c>
      <c r="O54" s="587">
        <v>820</v>
      </c>
      <c r="P54" s="587">
        <v>347</v>
      </c>
      <c r="Q54" s="571">
        <f t="shared" si="83"/>
        <v>-57.7</v>
      </c>
      <c r="R54" s="587">
        <f t="shared" si="84"/>
        <v>98</v>
      </c>
      <c r="S54" s="587">
        <f t="shared" si="85"/>
        <v>100</v>
      </c>
      <c r="T54" s="571">
        <f t="shared" si="94"/>
        <v>2</v>
      </c>
      <c r="U54" s="587">
        <v>918</v>
      </c>
      <c r="V54" s="587">
        <v>447</v>
      </c>
      <c r="W54" s="571">
        <f t="shared" si="86"/>
        <v>-51.3</v>
      </c>
      <c r="X54" s="587">
        <f t="shared" si="90"/>
        <v>50</v>
      </c>
      <c r="Y54" s="587">
        <f t="shared" si="91"/>
        <v>671</v>
      </c>
      <c r="Z54" s="571">
        <f t="shared" si="95"/>
        <v>1242</v>
      </c>
      <c r="AA54" s="629">
        <v>968</v>
      </c>
      <c r="AB54" s="629">
        <v>1118</v>
      </c>
      <c r="AC54" s="571">
        <f t="shared" si="93"/>
        <v>15.5</v>
      </c>
      <c r="AD54" s="587">
        <f t="shared" si="87"/>
        <v>496</v>
      </c>
      <c r="AE54" s="587">
        <f t="shared" si="88"/>
        <v>728</v>
      </c>
      <c r="AF54" s="571">
        <f t="shared" si="89"/>
        <v>46.8</v>
      </c>
      <c r="AG54" s="587">
        <v>1464</v>
      </c>
      <c r="AH54" s="587">
        <v>1846</v>
      </c>
      <c r="AI54" s="235">
        <f>ROUND(((AH54/AG54-1)*100), 1)</f>
        <v>26.1</v>
      </c>
    </row>
    <row r="55" spans="1:35" ht="15" customHeight="1">
      <c r="A55" s="92"/>
      <c r="B55" s="846"/>
      <c r="C55" s="75" t="s">
        <v>177</v>
      </c>
      <c r="D55" s="40">
        <v>0</v>
      </c>
      <c r="E55" s="40">
        <v>1009</v>
      </c>
      <c r="F55" s="40">
        <v>1204</v>
      </c>
      <c r="G55" s="40">
        <v>356</v>
      </c>
      <c r="H55" s="608">
        <v>1209</v>
      </c>
      <c r="I55" s="629">
        <v>0</v>
      </c>
      <c r="J55" s="587">
        <v>0</v>
      </c>
      <c r="K55" s="579">
        <v>0</v>
      </c>
      <c r="L55" s="587">
        <f t="shared" si="80"/>
        <v>0</v>
      </c>
      <c r="M55" s="587">
        <f t="shared" si="81"/>
        <v>0</v>
      </c>
      <c r="N55" s="579">
        <v>0</v>
      </c>
      <c r="O55" s="587">
        <v>0</v>
      </c>
      <c r="P55" s="587">
        <v>0</v>
      </c>
      <c r="Q55" s="579">
        <v>0</v>
      </c>
      <c r="R55" s="587">
        <f t="shared" si="84"/>
        <v>0</v>
      </c>
      <c r="S55" s="587">
        <f t="shared" si="85"/>
        <v>0</v>
      </c>
      <c r="T55" s="579">
        <v>0</v>
      </c>
      <c r="U55" s="587">
        <v>0</v>
      </c>
      <c r="V55" s="587">
        <v>0</v>
      </c>
      <c r="W55" s="579">
        <v>0</v>
      </c>
      <c r="X55" s="587">
        <f t="shared" si="90"/>
        <v>0</v>
      </c>
      <c r="Y55" s="587">
        <f t="shared" si="91"/>
        <v>0</v>
      </c>
      <c r="Z55" s="579">
        <v>0</v>
      </c>
      <c r="AA55" s="629">
        <v>0</v>
      </c>
      <c r="AB55" s="629">
        <v>0</v>
      </c>
      <c r="AC55" s="579">
        <v>0</v>
      </c>
      <c r="AD55" s="587">
        <f t="shared" si="87"/>
        <v>0</v>
      </c>
      <c r="AE55" s="587">
        <f t="shared" si="88"/>
        <v>0</v>
      </c>
      <c r="AF55" s="579">
        <v>0</v>
      </c>
      <c r="AG55" s="587">
        <v>0</v>
      </c>
      <c r="AH55" s="587">
        <v>0</v>
      </c>
      <c r="AI55" s="579">
        <v>0</v>
      </c>
    </row>
    <row r="56" spans="1:35" ht="15" customHeight="1">
      <c r="A56" s="92"/>
      <c r="B56" s="846"/>
      <c r="C56" s="323" t="s">
        <v>301</v>
      </c>
      <c r="D56" s="324">
        <v>0</v>
      </c>
      <c r="E56" s="324">
        <v>125</v>
      </c>
      <c r="F56" s="324">
        <v>1440</v>
      </c>
      <c r="G56" s="40">
        <v>2121</v>
      </c>
      <c r="H56" s="608">
        <v>1208</v>
      </c>
      <c r="I56" s="629">
        <v>0</v>
      </c>
      <c r="J56" s="587">
        <v>0</v>
      </c>
      <c r="K56" s="579">
        <v>0</v>
      </c>
      <c r="L56" s="587">
        <f t="shared" si="80"/>
        <v>400</v>
      </c>
      <c r="M56" s="587">
        <f t="shared" si="81"/>
        <v>0</v>
      </c>
      <c r="N56" s="571">
        <f t="shared" si="82"/>
        <v>-100</v>
      </c>
      <c r="O56" s="587">
        <v>400</v>
      </c>
      <c r="P56" s="587">
        <v>0</v>
      </c>
      <c r="Q56" s="571">
        <f t="shared" si="83"/>
        <v>-100</v>
      </c>
      <c r="R56" s="587">
        <f t="shared" si="84"/>
        <v>0</v>
      </c>
      <c r="S56" s="587">
        <f t="shared" si="85"/>
        <v>100</v>
      </c>
      <c r="T56" s="579">
        <v>0</v>
      </c>
      <c r="U56" s="587">
        <v>400</v>
      </c>
      <c r="V56" s="587">
        <v>100</v>
      </c>
      <c r="W56" s="571">
        <f t="shared" si="86"/>
        <v>-75</v>
      </c>
      <c r="X56" s="587">
        <f t="shared" si="90"/>
        <v>0</v>
      </c>
      <c r="Y56" s="587">
        <f t="shared" si="91"/>
        <v>0</v>
      </c>
      <c r="Z56" s="579">
        <v>0</v>
      </c>
      <c r="AA56" s="629">
        <v>400</v>
      </c>
      <c r="AB56" s="629">
        <v>100</v>
      </c>
      <c r="AC56" s="571">
        <f t="shared" si="93"/>
        <v>-75</v>
      </c>
      <c r="AD56" s="587">
        <f t="shared" si="87"/>
        <v>0</v>
      </c>
      <c r="AE56" s="587">
        <f t="shared" si="88"/>
        <v>300</v>
      </c>
      <c r="AF56" s="579">
        <v>0</v>
      </c>
      <c r="AG56" s="587">
        <v>400</v>
      </c>
      <c r="AH56" s="587">
        <v>400</v>
      </c>
      <c r="AI56" s="572">
        <f>ROUND(((AH56/AG56-1)*100), 1)</f>
        <v>0</v>
      </c>
    </row>
    <row r="57" spans="1:35" s="277" customFormat="1" ht="15" customHeight="1">
      <c r="A57" s="397"/>
      <c r="B57" s="846"/>
      <c r="C57" s="75" t="s">
        <v>157</v>
      </c>
      <c r="D57" s="40">
        <v>1512</v>
      </c>
      <c r="E57" s="40">
        <v>1649</v>
      </c>
      <c r="F57" s="40">
        <v>790</v>
      </c>
      <c r="G57" s="40">
        <v>0</v>
      </c>
      <c r="H57" s="608">
        <v>961</v>
      </c>
      <c r="I57" s="629">
        <v>0</v>
      </c>
      <c r="J57" s="587">
        <v>0</v>
      </c>
      <c r="K57" s="579">
        <v>0</v>
      </c>
      <c r="L57" s="587">
        <f t="shared" si="80"/>
        <v>0</v>
      </c>
      <c r="M57" s="587">
        <f t="shared" si="81"/>
        <v>0</v>
      </c>
      <c r="N57" s="579">
        <v>0</v>
      </c>
      <c r="O57" s="587">
        <v>0</v>
      </c>
      <c r="P57" s="587">
        <v>0</v>
      </c>
      <c r="Q57" s="579">
        <v>0</v>
      </c>
      <c r="R57" s="587">
        <f t="shared" si="84"/>
        <v>0</v>
      </c>
      <c r="S57" s="587">
        <f t="shared" si="85"/>
        <v>75</v>
      </c>
      <c r="T57" s="579">
        <v>0</v>
      </c>
      <c r="U57" s="587">
        <v>0</v>
      </c>
      <c r="V57" s="587">
        <v>75</v>
      </c>
      <c r="W57" s="579">
        <v>0</v>
      </c>
      <c r="X57" s="587">
        <f t="shared" si="90"/>
        <v>40</v>
      </c>
      <c r="Y57" s="587">
        <f t="shared" si="91"/>
        <v>704</v>
      </c>
      <c r="Z57" s="571">
        <f t="shared" si="95"/>
        <v>1660</v>
      </c>
      <c r="AA57" s="629">
        <v>40</v>
      </c>
      <c r="AB57" s="629">
        <v>779</v>
      </c>
      <c r="AC57" s="571">
        <f t="shared" si="93"/>
        <v>1847.5</v>
      </c>
      <c r="AD57" s="587">
        <f t="shared" si="87"/>
        <v>0</v>
      </c>
      <c r="AE57" s="587">
        <f t="shared" si="88"/>
        <v>1085</v>
      </c>
      <c r="AF57" s="579">
        <v>0</v>
      </c>
      <c r="AG57" s="587">
        <v>40</v>
      </c>
      <c r="AH57" s="587">
        <v>1864</v>
      </c>
      <c r="AI57" s="571">
        <f>ROUND(((AH57/AG57-1)*100), 1)</f>
        <v>4560</v>
      </c>
    </row>
    <row r="58" spans="1:35" s="277" customFormat="1" ht="15" customHeight="1">
      <c r="A58" s="397"/>
      <c r="B58" s="846"/>
      <c r="C58" s="75" t="s">
        <v>49</v>
      </c>
      <c r="D58" s="40">
        <v>276</v>
      </c>
      <c r="E58" s="40">
        <v>580</v>
      </c>
      <c r="F58" s="40">
        <v>177</v>
      </c>
      <c r="G58" s="40">
        <v>504</v>
      </c>
      <c r="H58" s="608">
        <v>601</v>
      </c>
      <c r="I58" s="629">
        <v>0</v>
      </c>
      <c r="J58" s="587">
        <v>0</v>
      </c>
      <c r="K58" s="579">
        <v>0</v>
      </c>
      <c r="L58" s="587">
        <f t="shared" si="80"/>
        <v>0</v>
      </c>
      <c r="M58" s="587">
        <f t="shared" si="81"/>
        <v>0</v>
      </c>
      <c r="N58" s="579">
        <v>0</v>
      </c>
      <c r="O58" s="587">
        <v>0</v>
      </c>
      <c r="P58" s="587">
        <v>0</v>
      </c>
      <c r="Q58" s="579">
        <v>0</v>
      </c>
      <c r="R58" s="587">
        <f t="shared" si="84"/>
        <v>0</v>
      </c>
      <c r="S58" s="587">
        <f t="shared" si="85"/>
        <v>0</v>
      </c>
      <c r="T58" s="579">
        <v>0</v>
      </c>
      <c r="U58" s="587">
        <v>0</v>
      </c>
      <c r="V58" s="587">
        <v>0</v>
      </c>
      <c r="W58" s="579">
        <v>0</v>
      </c>
      <c r="X58" s="587">
        <f t="shared" si="90"/>
        <v>0</v>
      </c>
      <c r="Y58" s="587">
        <f t="shared" si="91"/>
        <v>0</v>
      </c>
      <c r="Z58" s="579">
        <v>0</v>
      </c>
      <c r="AA58" s="629">
        <v>0</v>
      </c>
      <c r="AB58" s="629">
        <v>0</v>
      </c>
      <c r="AC58" s="579">
        <v>0</v>
      </c>
      <c r="AD58" s="587">
        <f t="shared" si="87"/>
        <v>401</v>
      </c>
      <c r="AE58" s="587">
        <f t="shared" si="88"/>
        <v>0</v>
      </c>
      <c r="AF58" s="571">
        <f t="shared" si="89"/>
        <v>-100</v>
      </c>
      <c r="AG58" s="587">
        <v>401</v>
      </c>
      <c r="AH58" s="587">
        <v>0</v>
      </c>
      <c r="AI58" s="571">
        <f>ROUND(((AH58/AG58-1)*100), 1)</f>
        <v>-100</v>
      </c>
    </row>
    <row r="59" spans="1:35" s="605" customFormat="1" ht="15" customHeight="1">
      <c r="A59" s="708"/>
      <c r="B59" s="846"/>
      <c r="C59" s="75" t="s">
        <v>589</v>
      </c>
      <c r="D59" s="608">
        <v>291</v>
      </c>
      <c r="E59" s="608">
        <v>25</v>
      </c>
      <c r="F59" s="608">
        <v>3</v>
      </c>
      <c r="G59" s="608">
        <v>0</v>
      </c>
      <c r="H59" s="608">
        <v>406</v>
      </c>
      <c r="I59" s="629">
        <v>0</v>
      </c>
      <c r="J59" s="587">
        <v>0</v>
      </c>
      <c r="K59" s="579">
        <v>0</v>
      </c>
      <c r="L59" s="587">
        <f t="shared" si="80"/>
        <v>0</v>
      </c>
      <c r="M59" s="587">
        <f t="shared" si="81"/>
        <v>0</v>
      </c>
      <c r="N59" s="579">
        <v>0</v>
      </c>
      <c r="O59" s="587">
        <v>0</v>
      </c>
      <c r="P59" s="587">
        <v>0</v>
      </c>
      <c r="Q59" s="579">
        <v>0</v>
      </c>
      <c r="R59" s="587">
        <f t="shared" si="84"/>
        <v>406</v>
      </c>
      <c r="S59" s="587">
        <f t="shared" si="85"/>
        <v>0</v>
      </c>
      <c r="T59" s="571">
        <f t="shared" si="94"/>
        <v>-100</v>
      </c>
      <c r="U59" s="587">
        <v>406</v>
      </c>
      <c r="V59" s="587">
        <v>0</v>
      </c>
      <c r="W59" s="571">
        <f t="shared" si="86"/>
        <v>-100</v>
      </c>
      <c r="X59" s="587">
        <f t="shared" si="90"/>
        <v>176</v>
      </c>
      <c r="Y59" s="587">
        <f t="shared" si="91"/>
        <v>0</v>
      </c>
      <c r="Z59" s="571">
        <f t="shared" si="95"/>
        <v>-100</v>
      </c>
      <c r="AA59" s="629">
        <v>582</v>
      </c>
      <c r="AB59" s="629">
        <v>0</v>
      </c>
      <c r="AC59" s="571">
        <f t="shared" si="93"/>
        <v>-100</v>
      </c>
      <c r="AD59" s="587">
        <f t="shared" si="87"/>
        <v>0</v>
      </c>
      <c r="AE59" s="587">
        <f t="shared" si="88"/>
        <v>0</v>
      </c>
      <c r="AF59" s="579">
        <v>0</v>
      </c>
      <c r="AG59" s="587">
        <v>582</v>
      </c>
      <c r="AH59" s="587">
        <v>0</v>
      </c>
      <c r="AI59" s="571">
        <f>ROUND(((AH59/AG59-1)*100), 1)</f>
        <v>-100</v>
      </c>
    </row>
    <row r="60" spans="1:35" ht="15" customHeight="1">
      <c r="A60" s="92"/>
      <c r="B60" s="846"/>
      <c r="C60" s="75" t="s">
        <v>155</v>
      </c>
      <c r="D60" s="40">
        <v>4785</v>
      </c>
      <c r="E60" s="40">
        <v>253</v>
      </c>
      <c r="F60" s="40">
        <v>547</v>
      </c>
      <c r="G60" s="40">
        <v>0</v>
      </c>
      <c r="H60" s="608">
        <v>293</v>
      </c>
      <c r="I60" s="629">
        <v>0</v>
      </c>
      <c r="J60" s="587">
        <v>0</v>
      </c>
      <c r="K60" s="171">
        <v>0</v>
      </c>
      <c r="L60" s="587">
        <f t="shared" si="80"/>
        <v>0</v>
      </c>
      <c r="M60" s="587">
        <f t="shared" si="81"/>
        <v>0</v>
      </c>
      <c r="N60" s="579">
        <v>0</v>
      </c>
      <c r="O60" s="587">
        <v>0</v>
      </c>
      <c r="P60" s="587">
        <v>0</v>
      </c>
      <c r="Q60" s="579">
        <v>0</v>
      </c>
      <c r="R60" s="587">
        <f t="shared" si="84"/>
        <v>0</v>
      </c>
      <c r="S60" s="587">
        <f t="shared" si="85"/>
        <v>0</v>
      </c>
      <c r="T60" s="579">
        <v>0</v>
      </c>
      <c r="U60" s="587">
        <v>0</v>
      </c>
      <c r="V60" s="587">
        <v>0</v>
      </c>
      <c r="W60" s="579">
        <v>0</v>
      </c>
      <c r="X60" s="587">
        <f t="shared" si="90"/>
        <v>0</v>
      </c>
      <c r="Y60" s="587">
        <f t="shared" si="91"/>
        <v>0</v>
      </c>
      <c r="Z60" s="579">
        <v>0</v>
      </c>
      <c r="AA60" s="629">
        <v>0</v>
      </c>
      <c r="AB60" s="629">
        <v>0</v>
      </c>
      <c r="AC60" s="579">
        <v>0</v>
      </c>
      <c r="AD60" s="587">
        <f t="shared" si="87"/>
        <v>0</v>
      </c>
      <c r="AE60" s="587">
        <f t="shared" si="88"/>
        <v>0</v>
      </c>
      <c r="AF60" s="579">
        <v>0</v>
      </c>
      <c r="AG60" s="587">
        <v>0</v>
      </c>
      <c r="AH60" s="587">
        <v>0</v>
      </c>
      <c r="AI60" s="462">
        <v>0</v>
      </c>
    </row>
    <row r="61" spans="1:35" ht="15" customHeight="1">
      <c r="A61" s="92"/>
      <c r="B61" s="846"/>
      <c r="C61" s="75" t="s">
        <v>440</v>
      </c>
      <c r="D61" s="40">
        <v>0</v>
      </c>
      <c r="E61" s="40">
        <v>20</v>
      </c>
      <c r="F61" s="40">
        <v>75</v>
      </c>
      <c r="G61" s="40">
        <v>675</v>
      </c>
      <c r="H61" s="608">
        <v>291</v>
      </c>
      <c r="I61" s="629">
        <v>0</v>
      </c>
      <c r="J61" s="587">
        <v>0</v>
      </c>
      <c r="K61" s="579">
        <v>0</v>
      </c>
      <c r="L61" s="587">
        <f t="shared" si="80"/>
        <v>0</v>
      </c>
      <c r="M61" s="587">
        <f t="shared" si="81"/>
        <v>0</v>
      </c>
      <c r="N61" s="579">
        <v>0</v>
      </c>
      <c r="O61" s="587">
        <v>0</v>
      </c>
      <c r="P61" s="587">
        <v>0</v>
      </c>
      <c r="Q61" s="579">
        <v>0</v>
      </c>
      <c r="R61" s="587">
        <f t="shared" si="84"/>
        <v>0</v>
      </c>
      <c r="S61" s="587">
        <f t="shared" si="85"/>
        <v>225</v>
      </c>
      <c r="T61" s="579">
        <v>0</v>
      </c>
      <c r="U61" s="587">
        <v>0</v>
      </c>
      <c r="V61" s="587">
        <v>225</v>
      </c>
      <c r="W61" s="579">
        <v>0</v>
      </c>
      <c r="X61" s="587">
        <f t="shared" si="90"/>
        <v>50</v>
      </c>
      <c r="Y61" s="587">
        <f t="shared" si="91"/>
        <v>0</v>
      </c>
      <c r="Z61" s="571">
        <f t="shared" si="95"/>
        <v>-100</v>
      </c>
      <c r="AA61" s="629">
        <v>50</v>
      </c>
      <c r="AB61" s="629">
        <v>225</v>
      </c>
      <c r="AC61" s="571">
        <f t="shared" si="93"/>
        <v>350</v>
      </c>
      <c r="AD61" s="587">
        <f t="shared" si="87"/>
        <v>0</v>
      </c>
      <c r="AE61" s="587">
        <f t="shared" si="88"/>
        <v>0</v>
      </c>
      <c r="AF61" s="579">
        <v>0</v>
      </c>
      <c r="AG61" s="587">
        <v>50</v>
      </c>
      <c r="AH61" s="587">
        <v>225</v>
      </c>
      <c r="AI61" s="571">
        <f>ROUND(((AH61/AG61-1)*100), 1)</f>
        <v>350</v>
      </c>
    </row>
    <row r="62" spans="1:35" ht="15" customHeight="1">
      <c r="A62" s="92"/>
      <c r="B62" s="846"/>
      <c r="C62" s="75" t="s">
        <v>175</v>
      </c>
      <c r="D62" s="40">
        <v>0</v>
      </c>
      <c r="E62" s="40">
        <v>7350</v>
      </c>
      <c r="F62" s="40">
        <v>1098</v>
      </c>
      <c r="G62" s="40">
        <v>839</v>
      </c>
      <c r="H62" s="608">
        <v>151</v>
      </c>
      <c r="I62" s="629">
        <v>0</v>
      </c>
      <c r="J62" s="587">
        <v>0</v>
      </c>
      <c r="K62" s="579">
        <v>0</v>
      </c>
      <c r="L62" s="587">
        <f t="shared" si="80"/>
        <v>0</v>
      </c>
      <c r="M62" s="587">
        <f t="shared" si="81"/>
        <v>0</v>
      </c>
      <c r="N62" s="579">
        <v>0</v>
      </c>
      <c r="O62" s="587">
        <v>0</v>
      </c>
      <c r="P62" s="587">
        <v>0</v>
      </c>
      <c r="Q62" s="579">
        <v>0</v>
      </c>
      <c r="R62" s="587">
        <f t="shared" si="84"/>
        <v>0</v>
      </c>
      <c r="S62" s="587">
        <f t="shared" si="85"/>
        <v>0</v>
      </c>
      <c r="T62" s="579">
        <v>0</v>
      </c>
      <c r="U62" s="587">
        <v>0</v>
      </c>
      <c r="V62" s="587">
        <v>0</v>
      </c>
      <c r="W62" s="579">
        <v>0</v>
      </c>
      <c r="X62" s="587">
        <f t="shared" si="90"/>
        <v>151</v>
      </c>
      <c r="Y62" s="587">
        <f t="shared" si="91"/>
        <v>0</v>
      </c>
      <c r="Z62" s="571">
        <f t="shared" si="95"/>
        <v>-100</v>
      </c>
      <c r="AA62" s="629">
        <v>151</v>
      </c>
      <c r="AB62" s="629">
        <v>0</v>
      </c>
      <c r="AC62" s="571">
        <f t="shared" si="93"/>
        <v>-100</v>
      </c>
      <c r="AD62" s="587">
        <f t="shared" si="87"/>
        <v>0</v>
      </c>
      <c r="AE62" s="587">
        <f t="shared" si="88"/>
        <v>0</v>
      </c>
      <c r="AF62" s="579">
        <v>0</v>
      </c>
      <c r="AG62" s="587">
        <v>151</v>
      </c>
      <c r="AH62" s="587">
        <v>0</v>
      </c>
      <c r="AI62" s="571">
        <f>ROUND(((AH62/AG62-1)*100), 1)</f>
        <v>-100</v>
      </c>
    </row>
    <row r="63" spans="1:35" ht="15" customHeight="1">
      <c r="A63" s="92"/>
      <c r="B63" s="846"/>
      <c r="C63" s="75" t="s">
        <v>439</v>
      </c>
      <c r="D63" s="40">
        <v>0</v>
      </c>
      <c r="E63" s="40">
        <v>0</v>
      </c>
      <c r="F63" s="40">
        <v>0</v>
      </c>
      <c r="G63" s="40">
        <v>681</v>
      </c>
      <c r="H63" s="608">
        <v>50</v>
      </c>
      <c r="I63" s="629">
        <v>0</v>
      </c>
      <c r="J63" s="587">
        <v>0</v>
      </c>
      <c r="K63" s="579">
        <v>0</v>
      </c>
      <c r="L63" s="587">
        <f t="shared" si="80"/>
        <v>0</v>
      </c>
      <c r="M63" s="587">
        <f t="shared" si="81"/>
        <v>0</v>
      </c>
      <c r="N63" s="579">
        <v>0</v>
      </c>
      <c r="O63" s="587">
        <v>0</v>
      </c>
      <c r="P63" s="587">
        <v>0</v>
      </c>
      <c r="Q63" s="579">
        <v>0</v>
      </c>
      <c r="R63" s="587">
        <f t="shared" si="84"/>
        <v>0</v>
      </c>
      <c r="S63" s="587">
        <f t="shared" si="85"/>
        <v>0</v>
      </c>
      <c r="T63" s="579">
        <v>0</v>
      </c>
      <c r="U63" s="587">
        <v>0</v>
      </c>
      <c r="V63" s="587">
        <v>0</v>
      </c>
      <c r="W63" s="579">
        <v>0</v>
      </c>
      <c r="X63" s="587">
        <f t="shared" si="90"/>
        <v>0</v>
      </c>
      <c r="Y63" s="587">
        <f t="shared" si="91"/>
        <v>0</v>
      </c>
      <c r="Z63" s="579">
        <v>0</v>
      </c>
      <c r="AA63" s="629">
        <v>0</v>
      </c>
      <c r="AB63" s="629">
        <v>0</v>
      </c>
      <c r="AC63" s="579">
        <v>0</v>
      </c>
      <c r="AD63" s="587">
        <f t="shared" si="87"/>
        <v>0</v>
      </c>
      <c r="AE63" s="587">
        <f t="shared" si="88"/>
        <v>0</v>
      </c>
      <c r="AF63" s="579">
        <v>0</v>
      </c>
      <c r="AG63" s="587">
        <v>0</v>
      </c>
      <c r="AH63" s="587">
        <v>0</v>
      </c>
      <c r="AI63" s="579"/>
    </row>
    <row r="64" spans="1:35" ht="15" customHeight="1">
      <c r="A64" s="92"/>
      <c r="B64" s="846"/>
      <c r="C64" s="75" t="s">
        <v>179</v>
      </c>
      <c r="D64" s="40">
        <v>431</v>
      </c>
      <c r="E64" s="40">
        <v>299</v>
      </c>
      <c r="F64" s="40">
        <v>25</v>
      </c>
      <c r="G64" s="40">
        <v>75</v>
      </c>
      <c r="H64" s="608">
        <v>50</v>
      </c>
      <c r="I64" s="629">
        <v>0</v>
      </c>
      <c r="J64" s="587">
        <v>0</v>
      </c>
      <c r="K64" s="171">
        <v>0</v>
      </c>
      <c r="L64" s="587">
        <f t="shared" si="80"/>
        <v>0</v>
      </c>
      <c r="M64" s="587">
        <f t="shared" si="81"/>
        <v>0</v>
      </c>
      <c r="N64" s="579">
        <v>0</v>
      </c>
      <c r="O64" s="587">
        <v>0</v>
      </c>
      <c r="P64" s="587">
        <v>0</v>
      </c>
      <c r="Q64" s="579">
        <v>0</v>
      </c>
      <c r="R64" s="587">
        <f t="shared" si="84"/>
        <v>0</v>
      </c>
      <c r="S64" s="587">
        <f t="shared" si="85"/>
        <v>0</v>
      </c>
      <c r="T64" s="579">
        <v>0</v>
      </c>
      <c r="U64" s="587">
        <v>0</v>
      </c>
      <c r="V64" s="587">
        <v>0</v>
      </c>
      <c r="W64" s="579">
        <v>0</v>
      </c>
      <c r="X64" s="587">
        <f t="shared" si="90"/>
        <v>50</v>
      </c>
      <c r="Y64" s="587">
        <f t="shared" si="91"/>
        <v>0</v>
      </c>
      <c r="Z64" s="571">
        <f t="shared" si="95"/>
        <v>-100</v>
      </c>
      <c r="AA64" s="629">
        <v>50</v>
      </c>
      <c r="AB64" s="629">
        <v>0</v>
      </c>
      <c r="AC64" s="571">
        <f t="shared" si="93"/>
        <v>-100</v>
      </c>
      <c r="AD64" s="587">
        <f t="shared" si="87"/>
        <v>0</v>
      </c>
      <c r="AE64" s="587">
        <f t="shared" si="88"/>
        <v>0</v>
      </c>
      <c r="AF64" s="579">
        <v>0</v>
      </c>
      <c r="AG64" s="587">
        <v>50</v>
      </c>
      <c r="AH64" s="587">
        <v>0</v>
      </c>
      <c r="AI64" s="571">
        <f>ROUND(((AH64/AG64-1)*100), 1)</f>
        <v>-100</v>
      </c>
    </row>
    <row r="65" spans="1:35" ht="15" customHeight="1">
      <c r="A65" s="92"/>
      <c r="B65" s="846"/>
      <c r="C65" s="75" t="s">
        <v>144</v>
      </c>
      <c r="D65" s="40">
        <v>74</v>
      </c>
      <c r="E65" s="40">
        <v>508</v>
      </c>
      <c r="F65" s="40">
        <v>5319</v>
      </c>
      <c r="G65" s="40">
        <v>2048</v>
      </c>
      <c r="H65" s="608">
        <v>0</v>
      </c>
      <c r="I65" s="629">
        <v>0</v>
      </c>
      <c r="J65" s="587">
        <v>0</v>
      </c>
      <c r="K65" s="171">
        <v>0</v>
      </c>
      <c r="L65" s="359">
        <f t="shared" ref="L65" si="96">O65-I65</f>
        <v>0</v>
      </c>
      <c r="M65" s="359">
        <f t="shared" ref="M65" si="97">P65-J65</f>
        <v>0</v>
      </c>
      <c r="N65" s="579">
        <v>0</v>
      </c>
      <c r="O65" s="587">
        <v>0</v>
      </c>
      <c r="P65" s="587">
        <v>0</v>
      </c>
      <c r="Q65" s="579">
        <v>0</v>
      </c>
      <c r="R65" s="587">
        <f t="shared" si="84"/>
        <v>0</v>
      </c>
      <c r="S65" s="587">
        <f t="shared" si="85"/>
        <v>0</v>
      </c>
      <c r="T65" s="579">
        <v>0</v>
      </c>
      <c r="U65" s="587">
        <v>0</v>
      </c>
      <c r="V65" s="587">
        <v>0</v>
      </c>
      <c r="W65" s="579">
        <v>0</v>
      </c>
      <c r="X65" s="468">
        <f t="shared" ref="X65" si="98">AA65-U65</f>
        <v>0</v>
      </c>
      <c r="Y65" s="468">
        <f t="shared" ref="Y65" si="99">AB65-V65</f>
        <v>0</v>
      </c>
      <c r="Z65" s="462">
        <v>0</v>
      </c>
      <c r="AA65" s="629">
        <v>0</v>
      </c>
      <c r="AB65" s="629">
        <v>0</v>
      </c>
      <c r="AC65" s="579">
        <v>0</v>
      </c>
      <c r="AD65" s="468">
        <f t="shared" ref="AD65" si="100">AG65-AA65</f>
        <v>0</v>
      </c>
      <c r="AE65" s="468">
        <f t="shared" ref="AE65" si="101">AH65-AB65</f>
        <v>0</v>
      </c>
      <c r="AF65" s="462">
        <v>0</v>
      </c>
      <c r="AG65" s="587">
        <v>0</v>
      </c>
      <c r="AH65" s="587">
        <v>0</v>
      </c>
      <c r="AI65" s="579"/>
    </row>
    <row r="66" spans="1:35" ht="15" customHeight="1">
      <c r="A66" s="92"/>
      <c r="B66" s="846"/>
      <c r="C66" s="75" t="s">
        <v>164</v>
      </c>
      <c r="D66" s="40">
        <f t="shared" ref="D66:J66" si="102">D67-SUM(D47:D65)</f>
        <v>8167</v>
      </c>
      <c r="E66" s="40">
        <f t="shared" si="102"/>
        <v>8269</v>
      </c>
      <c r="F66" s="40">
        <f t="shared" si="102"/>
        <v>6012</v>
      </c>
      <c r="G66" s="40">
        <f t="shared" si="102"/>
        <v>632</v>
      </c>
      <c r="H66" s="608">
        <f t="shared" si="102"/>
        <v>892</v>
      </c>
      <c r="I66" s="629">
        <f t="shared" si="102"/>
        <v>25</v>
      </c>
      <c r="J66" s="587">
        <f t="shared" si="102"/>
        <v>50</v>
      </c>
      <c r="K66" s="525">
        <f t="shared" ref="K66" si="103">ROUND(((J66/I66-1)*100), 1)</f>
        <v>100</v>
      </c>
      <c r="L66" s="359">
        <f>L67-SUM(L47:L65)</f>
        <v>24</v>
      </c>
      <c r="M66" s="359">
        <f>M67-SUM(M47:M65)</f>
        <v>0</v>
      </c>
      <c r="N66" s="525">
        <f t="shared" ref="N66" si="104">ROUND(((M66/L66-1)*100), 1)</f>
        <v>-100</v>
      </c>
      <c r="O66" s="587">
        <f>O67-SUM(O47:O65)</f>
        <v>49</v>
      </c>
      <c r="P66" s="587">
        <f>P67-SUM(P47:P65)</f>
        <v>50</v>
      </c>
      <c r="Q66" s="525">
        <f t="shared" si="83"/>
        <v>2</v>
      </c>
      <c r="R66" s="359">
        <f>R67-SUM(R47:R65)</f>
        <v>198</v>
      </c>
      <c r="S66" s="359">
        <f>S67-SUM(S47:S65)</f>
        <v>140</v>
      </c>
      <c r="T66" s="525">
        <f t="shared" ref="T66" si="105">ROUND(((S66/R66-1)*100), 1)</f>
        <v>-29.3</v>
      </c>
      <c r="U66" s="587">
        <f>U67-SUM(U47:U65)</f>
        <v>247</v>
      </c>
      <c r="V66" s="587">
        <f>V67-SUM(V47:V65)</f>
        <v>190</v>
      </c>
      <c r="W66" s="525">
        <f t="shared" si="86"/>
        <v>-23.1</v>
      </c>
      <c r="X66" s="468">
        <f>X67-SUM(X47:X65)</f>
        <v>50</v>
      </c>
      <c r="Y66" s="468">
        <f>Y67-SUM(Y47:Y65)</f>
        <v>117</v>
      </c>
      <c r="Z66" s="235">
        <f t="shared" ref="Z66" si="106">ROUND(((Y66/X66-1)*100), 1)</f>
        <v>134</v>
      </c>
      <c r="AA66" s="629">
        <f>AA67-SUM(AA47:AA65)</f>
        <v>297</v>
      </c>
      <c r="AB66" s="629">
        <f>AB67-SUM(AB47:AB65)</f>
        <v>307</v>
      </c>
      <c r="AC66" s="235">
        <f t="shared" ref="AC66" si="107">ROUND(((AB66/AA66-1)*100), 1)</f>
        <v>3.4</v>
      </c>
      <c r="AD66" s="468">
        <f>AD67-SUM(AD47:AD65)</f>
        <v>204</v>
      </c>
      <c r="AE66" s="468">
        <f>AE67-SUM(AE47:AE65)</f>
        <v>50</v>
      </c>
      <c r="AF66" s="525">
        <f t="shared" ref="AF66" si="108">ROUND(((AE66/AD66-1)*100), 1)</f>
        <v>-75.5</v>
      </c>
      <c r="AG66" s="587">
        <f>AG67-SUM(AG47:AG65)</f>
        <v>501</v>
      </c>
      <c r="AH66" s="587">
        <f>AH67-SUM(AH47:AH65)</f>
        <v>357</v>
      </c>
      <c r="AI66" s="85">
        <f t="shared" ref="AI66" si="109">ROUND(((AH66/AG66-1)*100), 1)</f>
        <v>-28.7</v>
      </c>
    </row>
    <row r="67" spans="1:35" ht="15" customHeight="1">
      <c r="A67" s="92"/>
      <c r="B67" s="748"/>
      <c r="C67" s="160" t="s">
        <v>273</v>
      </c>
      <c r="D67" s="42">
        <v>88194</v>
      </c>
      <c r="E67" s="42">
        <v>74363</v>
      </c>
      <c r="F67" s="42">
        <v>91700</v>
      </c>
      <c r="G67" s="42">
        <v>70529</v>
      </c>
      <c r="H67" s="609">
        <v>93987</v>
      </c>
      <c r="I67" s="631">
        <v>6147</v>
      </c>
      <c r="J67" s="585">
        <v>8842</v>
      </c>
      <c r="K67" s="236">
        <f t="shared" ref="K67" si="110">ROUND(((J67/I67-1)*100), 1)</f>
        <v>43.8</v>
      </c>
      <c r="L67" s="376">
        <f t="shared" ref="L67:M67" si="111">O67-I67</f>
        <v>4591</v>
      </c>
      <c r="M67" s="376">
        <f t="shared" si="111"/>
        <v>7458</v>
      </c>
      <c r="N67" s="236">
        <f t="shared" ref="N67" si="112">ROUND(((M67/L67-1)*100), 1)</f>
        <v>62.4</v>
      </c>
      <c r="O67" s="585">
        <v>10738</v>
      </c>
      <c r="P67" s="585">
        <v>16300</v>
      </c>
      <c r="Q67" s="236">
        <f t="shared" ref="Q67" si="113">ROUND(((P67/O67-1)*100), 1)</f>
        <v>51.8</v>
      </c>
      <c r="R67" s="376">
        <f t="shared" ref="R67" si="114">U67-O67</f>
        <v>5963</v>
      </c>
      <c r="S67" s="376">
        <f t="shared" ref="S67" si="115">V67-P67</f>
        <v>12132</v>
      </c>
      <c r="T67" s="236">
        <f t="shared" ref="T67" si="116">ROUND(((S67/R67-1)*100), 1)</f>
        <v>103.5</v>
      </c>
      <c r="U67" s="585">
        <v>16701</v>
      </c>
      <c r="V67" s="585">
        <v>28432</v>
      </c>
      <c r="W67" s="236">
        <f t="shared" ref="W67" si="117">ROUND(((V67/U67-1)*100), 1)</f>
        <v>70.2</v>
      </c>
      <c r="X67" s="376">
        <f t="shared" ref="X67" si="118">AA67-U67</f>
        <v>4806</v>
      </c>
      <c r="Y67" s="376">
        <f t="shared" ref="Y67" si="119">AB67-V67</f>
        <v>9665</v>
      </c>
      <c r="Z67" s="236">
        <f t="shared" ref="Z67" si="120">ROUND(((Y67/X67-1)*100), 1)</f>
        <v>101.1</v>
      </c>
      <c r="AA67" s="631">
        <v>21507</v>
      </c>
      <c r="AB67" s="631">
        <v>38097</v>
      </c>
      <c r="AC67" s="236">
        <f t="shared" ref="AC67" si="121">ROUND(((AB67/AA67-1)*100), 1)</f>
        <v>77.099999999999994</v>
      </c>
      <c r="AD67" s="376">
        <f t="shared" ref="AD67:AE67" si="122">AG67-AA67</f>
        <v>5119</v>
      </c>
      <c r="AE67" s="376">
        <f t="shared" si="122"/>
        <v>9208</v>
      </c>
      <c r="AF67" s="236">
        <f t="shared" ref="AF67" si="123">ROUND(((AE67/AD67-1)*100), 1)</f>
        <v>79.900000000000006</v>
      </c>
      <c r="AG67" s="585">
        <v>26626</v>
      </c>
      <c r="AH67" s="585">
        <v>47305</v>
      </c>
      <c r="AI67" s="236">
        <f t="shared" ref="AI67" si="124">ROUND(((AH67/AG67-1)*100), 1)</f>
        <v>77.7</v>
      </c>
    </row>
    <row r="68" spans="1:35" ht="15" customHeight="1">
      <c r="A68" s="92"/>
      <c r="B68" s="847" t="s">
        <v>165</v>
      </c>
      <c r="C68" s="81" t="s">
        <v>45</v>
      </c>
      <c r="D68" s="62">
        <v>12994</v>
      </c>
      <c r="E68" s="62">
        <v>13356</v>
      </c>
      <c r="F68" s="62">
        <v>15244</v>
      </c>
      <c r="G68" s="62">
        <v>15908</v>
      </c>
      <c r="H68" s="62">
        <v>11132</v>
      </c>
      <c r="I68" s="633">
        <v>1701</v>
      </c>
      <c r="J68" s="584">
        <v>842</v>
      </c>
      <c r="K68" s="225">
        <f>ROUND(((J68/I68-1)*100), 1)</f>
        <v>-50.5</v>
      </c>
      <c r="L68" s="360">
        <f t="shared" ref="L68:M72" si="125">O68-I68</f>
        <v>895</v>
      </c>
      <c r="M68" s="360">
        <f t="shared" si="125"/>
        <v>272</v>
      </c>
      <c r="N68" s="225">
        <f>ROUND(((M68/L68-1)*100), 1)</f>
        <v>-69.599999999999994</v>
      </c>
      <c r="O68" s="588">
        <v>2596</v>
      </c>
      <c r="P68" s="584">
        <v>1114</v>
      </c>
      <c r="Q68" s="225">
        <f>ROUND(((P68/O68-1)*100), 1)</f>
        <v>-57.1</v>
      </c>
      <c r="R68" s="360">
        <f t="shared" ref="R68:S72" si="126">U68-O68</f>
        <v>1299</v>
      </c>
      <c r="S68" s="360">
        <f t="shared" si="126"/>
        <v>1190</v>
      </c>
      <c r="T68" s="225">
        <f t="shared" ref="T68:T72" si="127">ROUND(((S68/R68-1)*100), 1)</f>
        <v>-8.4</v>
      </c>
      <c r="U68" s="709">
        <v>3895</v>
      </c>
      <c r="V68" s="584">
        <v>2304</v>
      </c>
      <c r="W68" s="225">
        <f t="shared" ref="W68:W74" si="128">ROUND(((V68/U68-1)*100), 1)</f>
        <v>-40.799999999999997</v>
      </c>
      <c r="X68" s="469">
        <f t="shared" ref="X68:Y72" si="129">AA68-U68</f>
        <v>608</v>
      </c>
      <c r="Y68" s="469">
        <f t="shared" si="129"/>
        <v>1657</v>
      </c>
      <c r="Z68" s="225">
        <f t="shared" ref="Z68:Z72" si="130">ROUND(((Y68/X68-1)*100), 1)</f>
        <v>172.5</v>
      </c>
      <c r="AA68" s="718">
        <v>4503</v>
      </c>
      <c r="AB68" s="634">
        <v>3961</v>
      </c>
      <c r="AC68" s="225">
        <f t="shared" ref="AC68:AC89" si="131">ROUND(((AB68/AA68-1)*100), 1)</f>
        <v>-12</v>
      </c>
      <c r="AD68" s="469">
        <f t="shared" ref="AD68:AE71" si="132">AG68-AA68</f>
        <v>388</v>
      </c>
      <c r="AE68" s="469">
        <f t="shared" si="132"/>
        <v>1262</v>
      </c>
      <c r="AF68" s="225">
        <f>ROUND(((AE68/AD68-1)*100), 1)</f>
        <v>225.3</v>
      </c>
      <c r="AG68" s="709">
        <v>4891</v>
      </c>
      <c r="AH68" s="584">
        <v>5223</v>
      </c>
      <c r="AI68" s="225">
        <f t="shared" ref="AI68:AI83" si="133">ROUND(((AH68/AG68-1)*100), 1)</f>
        <v>6.8</v>
      </c>
    </row>
    <row r="69" spans="1:35" ht="15" customHeight="1">
      <c r="A69" s="92"/>
      <c r="B69" s="846"/>
      <c r="C69" s="39" t="s">
        <v>149</v>
      </c>
      <c r="D69" s="40">
        <v>1012</v>
      </c>
      <c r="E69" s="40">
        <v>944</v>
      </c>
      <c r="F69" s="40">
        <v>1694</v>
      </c>
      <c r="G69" s="40">
        <v>3110</v>
      </c>
      <c r="H69" s="608">
        <v>8339</v>
      </c>
      <c r="I69" s="629">
        <v>313</v>
      </c>
      <c r="J69" s="589">
        <v>341</v>
      </c>
      <c r="K69" s="235">
        <f>ROUND(((J69/I69-1)*100), 1)</f>
        <v>8.9</v>
      </c>
      <c r="L69" s="359">
        <f t="shared" si="125"/>
        <v>497</v>
      </c>
      <c r="M69" s="359">
        <f t="shared" si="125"/>
        <v>497</v>
      </c>
      <c r="N69" s="235">
        <f>ROUND(((M69/L69-1)*100), 1)</f>
        <v>0</v>
      </c>
      <c r="O69" s="587">
        <v>810</v>
      </c>
      <c r="P69" s="589">
        <v>838</v>
      </c>
      <c r="Q69" s="235">
        <f>ROUND(((P69/O69-1)*100), 1)</f>
        <v>3.5</v>
      </c>
      <c r="R69" s="359">
        <f t="shared" si="126"/>
        <v>451</v>
      </c>
      <c r="S69" s="359">
        <f t="shared" si="126"/>
        <v>426</v>
      </c>
      <c r="T69" s="235">
        <f t="shared" si="127"/>
        <v>-5.5</v>
      </c>
      <c r="U69" s="710">
        <v>1261</v>
      </c>
      <c r="V69" s="589">
        <v>1264</v>
      </c>
      <c r="W69" s="235">
        <f t="shared" si="128"/>
        <v>0.2</v>
      </c>
      <c r="X69" s="468">
        <f t="shared" si="129"/>
        <v>446</v>
      </c>
      <c r="Y69" s="468">
        <f t="shared" si="129"/>
        <v>454</v>
      </c>
      <c r="Z69" s="235">
        <f t="shared" si="130"/>
        <v>1.8</v>
      </c>
      <c r="AA69" s="719">
        <v>1707</v>
      </c>
      <c r="AB69" s="630">
        <v>1718</v>
      </c>
      <c r="AC69" s="235">
        <f t="shared" si="131"/>
        <v>0.6</v>
      </c>
      <c r="AD69" s="468">
        <f t="shared" si="132"/>
        <v>569</v>
      </c>
      <c r="AE69" s="468">
        <f t="shared" si="132"/>
        <v>444</v>
      </c>
      <c r="AF69" s="235">
        <f>ROUND(((AE69/AD69-1)*100), 1)</f>
        <v>-22</v>
      </c>
      <c r="AG69" s="710">
        <v>2276</v>
      </c>
      <c r="AH69" s="589">
        <v>2162</v>
      </c>
      <c r="AI69" s="235">
        <f t="shared" si="133"/>
        <v>-5</v>
      </c>
    </row>
    <row r="70" spans="1:35" ht="15" customHeight="1">
      <c r="A70" s="92"/>
      <c r="B70" s="846"/>
      <c r="C70" s="39" t="s">
        <v>176</v>
      </c>
      <c r="D70" s="40">
        <v>3771</v>
      </c>
      <c r="E70" s="40">
        <v>2233</v>
      </c>
      <c r="F70" s="40">
        <v>2875</v>
      </c>
      <c r="G70" s="40">
        <v>4190</v>
      </c>
      <c r="H70" s="608">
        <v>8139</v>
      </c>
      <c r="I70" s="629">
        <v>356</v>
      </c>
      <c r="J70" s="589">
        <v>385</v>
      </c>
      <c r="K70" s="235">
        <f>ROUND(((J70/I70-1)*100), 1)</f>
        <v>8.1</v>
      </c>
      <c r="L70" s="359">
        <f t="shared" si="125"/>
        <v>120</v>
      </c>
      <c r="M70" s="359">
        <f t="shared" si="125"/>
        <v>361</v>
      </c>
      <c r="N70" s="235">
        <f>ROUND(((M70/L70-1)*100), 1)</f>
        <v>200.8</v>
      </c>
      <c r="O70" s="587">
        <v>476</v>
      </c>
      <c r="P70" s="589">
        <v>746</v>
      </c>
      <c r="Q70" s="235">
        <f>ROUND(((P70/O70-1)*100), 1)</f>
        <v>56.7</v>
      </c>
      <c r="R70" s="359">
        <f t="shared" si="126"/>
        <v>852</v>
      </c>
      <c r="S70" s="359">
        <f t="shared" si="126"/>
        <v>276</v>
      </c>
      <c r="T70" s="235">
        <f t="shared" si="127"/>
        <v>-67.599999999999994</v>
      </c>
      <c r="U70" s="710">
        <v>1328</v>
      </c>
      <c r="V70" s="589">
        <v>1022</v>
      </c>
      <c r="W70" s="235">
        <f t="shared" si="128"/>
        <v>-23</v>
      </c>
      <c r="X70" s="468">
        <f t="shared" si="129"/>
        <v>888</v>
      </c>
      <c r="Y70" s="468">
        <f t="shared" si="129"/>
        <v>798</v>
      </c>
      <c r="Z70" s="235">
        <f t="shared" si="130"/>
        <v>-10.1</v>
      </c>
      <c r="AA70" s="719">
        <v>2216</v>
      </c>
      <c r="AB70" s="630">
        <v>1820</v>
      </c>
      <c r="AC70" s="235">
        <f t="shared" si="131"/>
        <v>-17.899999999999999</v>
      </c>
      <c r="AD70" s="468">
        <f t="shared" si="132"/>
        <v>414</v>
      </c>
      <c r="AE70" s="468">
        <f t="shared" si="132"/>
        <v>997</v>
      </c>
      <c r="AF70" s="235">
        <f>ROUND(((AE70/AD70-1)*100), 1)</f>
        <v>140.80000000000001</v>
      </c>
      <c r="AG70" s="710">
        <v>2630</v>
      </c>
      <c r="AH70" s="589">
        <v>2817</v>
      </c>
      <c r="AI70" s="235">
        <f t="shared" si="133"/>
        <v>7.1</v>
      </c>
    </row>
    <row r="71" spans="1:35" ht="15" customHeight="1">
      <c r="A71" s="92"/>
      <c r="B71" s="846"/>
      <c r="C71" s="39" t="s">
        <v>180</v>
      </c>
      <c r="D71" s="40">
        <v>435</v>
      </c>
      <c r="E71" s="40">
        <v>3243</v>
      </c>
      <c r="F71" s="40">
        <v>1022</v>
      </c>
      <c r="G71" s="40">
        <v>2814</v>
      </c>
      <c r="H71" s="608">
        <v>3928</v>
      </c>
      <c r="I71" s="629">
        <v>845</v>
      </c>
      <c r="J71" s="589">
        <v>406</v>
      </c>
      <c r="K71" s="571">
        <f t="shared" ref="K71:K89" si="134">ROUND(((J71/I71-1)*100), 1)</f>
        <v>-52</v>
      </c>
      <c r="L71" s="359">
        <f t="shared" si="125"/>
        <v>401</v>
      </c>
      <c r="M71" s="359">
        <f t="shared" si="125"/>
        <v>225</v>
      </c>
      <c r="N71" s="571">
        <f t="shared" ref="N71:N72" si="135">ROUND(((M71/L71-1)*100), 1)</f>
        <v>-43.9</v>
      </c>
      <c r="O71" s="587">
        <v>1246</v>
      </c>
      <c r="P71" s="589">
        <v>631</v>
      </c>
      <c r="Q71" s="571">
        <f t="shared" ref="Q71:Q89" si="136">ROUND(((P71/O71-1)*100), 1)</f>
        <v>-49.4</v>
      </c>
      <c r="R71" s="359">
        <f t="shared" si="126"/>
        <v>249</v>
      </c>
      <c r="S71" s="359">
        <f t="shared" si="126"/>
        <v>400</v>
      </c>
      <c r="T71" s="235">
        <f t="shared" si="127"/>
        <v>60.6</v>
      </c>
      <c r="U71" s="710">
        <v>1495</v>
      </c>
      <c r="V71" s="589">
        <v>1031</v>
      </c>
      <c r="W71" s="235">
        <f t="shared" si="128"/>
        <v>-31</v>
      </c>
      <c r="X71" s="468">
        <f t="shared" si="129"/>
        <v>247</v>
      </c>
      <c r="Y71" s="468">
        <f t="shared" si="129"/>
        <v>448</v>
      </c>
      <c r="Z71" s="235">
        <f t="shared" si="130"/>
        <v>81.400000000000006</v>
      </c>
      <c r="AA71" s="719">
        <v>1742</v>
      </c>
      <c r="AB71" s="630">
        <v>1479</v>
      </c>
      <c r="AC71" s="235">
        <f t="shared" si="131"/>
        <v>-15.1</v>
      </c>
      <c r="AD71" s="468">
        <f t="shared" si="132"/>
        <v>150</v>
      </c>
      <c r="AE71" s="468">
        <f t="shared" si="132"/>
        <v>227</v>
      </c>
      <c r="AF71" s="235">
        <f>ROUND(((AE71/AD71-1)*100), 1)</f>
        <v>51.3</v>
      </c>
      <c r="AG71" s="710">
        <v>1892</v>
      </c>
      <c r="AH71" s="589">
        <v>1706</v>
      </c>
      <c r="AI71" s="235">
        <f t="shared" si="133"/>
        <v>-9.8000000000000007</v>
      </c>
    </row>
    <row r="72" spans="1:35" ht="15" customHeight="1">
      <c r="A72" s="92"/>
      <c r="B72" s="846"/>
      <c r="C72" s="39" t="s">
        <v>186</v>
      </c>
      <c r="D72" s="40">
        <v>0</v>
      </c>
      <c r="E72" s="40">
        <v>728</v>
      </c>
      <c r="F72" s="40">
        <v>1926</v>
      </c>
      <c r="G72" s="40">
        <v>2510</v>
      </c>
      <c r="H72" s="608">
        <v>2738</v>
      </c>
      <c r="I72" s="629">
        <v>442</v>
      </c>
      <c r="J72" s="589">
        <v>297</v>
      </c>
      <c r="K72" s="571">
        <f t="shared" si="134"/>
        <v>-32.799999999999997</v>
      </c>
      <c r="L72" s="359">
        <f t="shared" si="125"/>
        <v>201</v>
      </c>
      <c r="M72" s="359">
        <f t="shared" si="125"/>
        <v>196</v>
      </c>
      <c r="N72" s="571">
        <f t="shared" si="135"/>
        <v>-2.5</v>
      </c>
      <c r="O72" s="587">
        <v>643</v>
      </c>
      <c r="P72" s="589">
        <v>493</v>
      </c>
      <c r="Q72" s="571">
        <f t="shared" si="136"/>
        <v>-23.3</v>
      </c>
      <c r="R72" s="359">
        <f t="shared" si="126"/>
        <v>397</v>
      </c>
      <c r="S72" s="359">
        <f t="shared" si="126"/>
        <v>101</v>
      </c>
      <c r="T72" s="235">
        <f t="shared" si="127"/>
        <v>-74.599999999999994</v>
      </c>
      <c r="U72" s="710">
        <v>1040</v>
      </c>
      <c r="V72" s="589">
        <v>594</v>
      </c>
      <c r="W72" s="235">
        <f t="shared" si="128"/>
        <v>-42.9</v>
      </c>
      <c r="X72" s="468">
        <f t="shared" si="129"/>
        <v>200</v>
      </c>
      <c r="Y72" s="468">
        <f t="shared" si="129"/>
        <v>99</v>
      </c>
      <c r="Z72" s="235">
        <f t="shared" si="130"/>
        <v>-50.5</v>
      </c>
      <c r="AA72" s="719">
        <v>1240</v>
      </c>
      <c r="AB72" s="630">
        <v>693</v>
      </c>
      <c r="AC72" s="235">
        <f t="shared" si="131"/>
        <v>-44.1</v>
      </c>
      <c r="AD72" s="528">
        <f t="shared" ref="AD72:AD89" si="137">AG72-AA72</f>
        <v>0</v>
      </c>
      <c r="AE72" s="587">
        <f t="shared" ref="AE72:AE89" si="138">AH72-AB72</f>
        <v>0</v>
      </c>
      <c r="AF72" s="579">
        <v>0</v>
      </c>
      <c r="AG72" s="710">
        <v>1240</v>
      </c>
      <c r="AH72" s="589">
        <v>693</v>
      </c>
      <c r="AI72" s="235">
        <f t="shared" si="133"/>
        <v>-44.1</v>
      </c>
    </row>
    <row r="73" spans="1:35" ht="15" customHeight="1">
      <c r="A73" s="92"/>
      <c r="B73" s="846"/>
      <c r="C73" s="39" t="s">
        <v>174</v>
      </c>
      <c r="D73" s="40">
        <v>3204</v>
      </c>
      <c r="E73" s="40">
        <v>1437</v>
      </c>
      <c r="F73" s="40">
        <v>1309</v>
      </c>
      <c r="G73" s="40">
        <v>2433</v>
      </c>
      <c r="H73" s="608">
        <v>2008</v>
      </c>
      <c r="I73" s="629">
        <v>95</v>
      </c>
      <c r="J73" s="589">
        <v>176</v>
      </c>
      <c r="K73" s="571">
        <f t="shared" si="134"/>
        <v>85.3</v>
      </c>
      <c r="L73" s="587">
        <f t="shared" ref="L73:L90" si="139">O73-I73</f>
        <v>147</v>
      </c>
      <c r="M73" s="587">
        <f t="shared" ref="M73:M90" si="140">P73-J73</f>
        <v>134</v>
      </c>
      <c r="N73" s="571">
        <f t="shared" ref="N73:N80" si="141">ROUND(((M73/L73-1)*100), 1)</f>
        <v>-8.8000000000000007</v>
      </c>
      <c r="O73" s="587">
        <v>242</v>
      </c>
      <c r="P73" s="589">
        <v>310</v>
      </c>
      <c r="Q73" s="571">
        <f t="shared" si="136"/>
        <v>28.1</v>
      </c>
      <c r="R73" s="587">
        <f t="shared" ref="R73:R92" si="142">U73-O73</f>
        <v>96</v>
      </c>
      <c r="S73" s="587">
        <f t="shared" ref="S73:S92" si="143">V73-P73</f>
        <v>0</v>
      </c>
      <c r="T73" s="571">
        <f t="shared" ref="T73:T89" si="144">ROUND(((S73/R73-1)*100), 1)</f>
        <v>-100</v>
      </c>
      <c r="U73" s="710">
        <v>338</v>
      </c>
      <c r="V73" s="589">
        <v>310</v>
      </c>
      <c r="W73" s="235">
        <f t="shared" si="128"/>
        <v>-8.3000000000000007</v>
      </c>
      <c r="X73" s="587">
        <f t="shared" ref="X73:X90" si="145">AA73-U73</f>
        <v>193</v>
      </c>
      <c r="Y73" s="587">
        <f t="shared" ref="Y73:Y90" si="146">AB73-V73</f>
        <v>0</v>
      </c>
      <c r="Z73" s="571">
        <f t="shared" ref="Z73:Z83" si="147">ROUND(((Y73/X73-1)*100), 1)</f>
        <v>-100</v>
      </c>
      <c r="AA73" s="719">
        <v>531</v>
      </c>
      <c r="AB73" s="630">
        <v>310</v>
      </c>
      <c r="AC73" s="235">
        <f t="shared" si="131"/>
        <v>-41.6</v>
      </c>
      <c r="AD73" s="528">
        <f t="shared" si="137"/>
        <v>223</v>
      </c>
      <c r="AE73" s="587">
        <f t="shared" si="138"/>
        <v>151</v>
      </c>
      <c r="AF73" s="571">
        <f t="shared" ref="AF73:AF89" si="148">ROUND(((AE73/AD73-1)*100), 1)</f>
        <v>-32.299999999999997</v>
      </c>
      <c r="AG73" s="710">
        <v>754</v>
      </c>
      <c r="AH73" s="589">
        <v>461</v>
      </c>
      <c r="AI73" s="235">
        <f t="shared" si="133"/>
        <v>-38.9</v>
      </c>
    </row>
    <row r="74" spans="1:35" ht="15" customHeight="1">
      <c r="A74" s="92"/>
      <c r="B74" s="846"/>
      <c r="C74" s="39" t="s">
        <v>183</v>
      </c>
      <c r="D74" s="40">
        <v>650</v>
      </c>
      <c r="E74" s="40">
        <v>1622</v>
      </c>
      <c r="F74" s="40">
        <v>197</v>
      </c>
      <c r="G74" s="40">
        <v>934</v>
      </c>
      <c r="H74" s="608">
        <v>1103</v>
      </c>
      <c r="I74" s="629">
        <v>99</v>
      </c>
      <c r="J74" s="589">
        <v>0</v>
      </c>
      <c r="K74" s="571">
        <f t="shared" si="134"/>
        <v>-100</v>
      </c>
      <c r="L74" s="587">
        <f t="shared" si="139"/>
        <v>123</v>
      </c>
      <c r="M74" s="587">
        <f t="shared" si="140"/>
        <v>0</v>
      </c>
      <c r="N74" s="571">
        <f t="shared" si="141"/>
        <v>-100</v>
      </c>
      <c r="O74" s="587">
        <v>222</v>
      </c>
      <c r="P74" s="589">
        <v>0</v>
      </c>
      <c r="Q74" s="571">
        <f t="shared" si="136"/>
        <v>-100</v>
      </c>
      <c r="R74" s="587">
        <f t="shared" si="142"/>
        <v>516</v>
      </c>
      <c r="S74" s="587">
        <f t="shared" si="143"/>
        <v>0</v>
      </c>
      <c r="T74" s="571">
        <f t="shared" si="144"/>
        <v>-100</v>
      </c>
      <c r="U74" s="710">
        <v>738</v>
      </c>
      <c r="V74" s="589">
        <v>0</v>
      </c>
      <c r="W74" s="571">
        <f t="shared" si="128"/>
        <v>-100</v>
      </c>
      <c r="X74" s="587">
        <f t="shared" si="145"/>
        <v>266</v>
      </c>
      <c r="Y74" s="587">
        <f t="shared" si="146"/>
        <v>0</v>
      </c>
      <c r="Z74" s="571">
        <f t="shared" si="147"/>
        <v>-100</v>
      </c>
      <c r="AA74" s="719">
        <v>1004</v>
      </c>
      <c r="AB74" s="630">
        <v>0</v>
      </c>
      <c r="AC74" s="235">
        <f t="shared" si="131"/>
        <v>-100</v>
      </c>
      <c r="AD74" s="528">
        <f t="shared" si="137"/>
        <v>0</v>
      </c>
      <c r="AE74" s="587">
        <f t="shared" si="138"/>
        <v>0</v>
      </c>
      <c r="AF74" s="579">
        <v>0</v>
      </c>
      <c r="AG74" s="710">
        <v>1004</v>
      </c>
      <c r="AH74" s="589">
        <v>0</v>
      </c>
      <c r="AI74" s="235">
        <f t="shared" si="133"/>
        <v>-100</v>
      </c>
    </row>
    <row r="75" spans="1:35" ht="15" customHeight="1">
      <c r="A75" s="92"/>
      <c r="B75" s="846"/>
      <c r="C75" s="39" t="s">
        <v>154</v>
      </c>
      <c r="D75" s="40">
        <v>365</v>
      </c>
      <c r="E75" s="40">
        <v>2742</v>
      </c>
      <c r="F75" s="40">
        <v>3275</v>
      </c>
      <c r="G75" s="40">
        <v>3235</v>
      </c>
      <c r="H75" s="608">
        <v>1019</v>
      </c>
      <c r="I75" s="629">
        <v>169</v>
      </c>
      <c r="J75" s="589">
        <v>110</v>
      </c>
      <c r="K75" s="571">
        <f t="shared" si="134"/>
        <v>-34.9</v>
      </c>
      <c r="L75" s="587">
        <f t="shared" si="139"/>
        <v>319</v>
      </c>
      <c r="M75" s="587">
        <f t="shared" si="140"/>
        <v>124</v>
      </c>
      <c r="N75" s="571">
        <f t="shared" si="141"/>
        <v>-61.1</v>
      </c>
      <c r="O75" s="587">
        <v>488</v>
      </c>
      <c r="P75" s="589">
        <v>234</v>
      </c>
      <c r="Q75" s="571">
        <f t="shared" si="136"/>
        <v>-52</v>
      </c>
      <c r="R75" s="587">
        <f t="shared" si="142"/>
        <v>108</v>
      </c>
      <c r="S75" s="587">
        <f t="shared" si="143"/>
        <v>164</v>
      </c>
      <c r="T75" s="571">
        <f t="shared" si="144"/>
        <v>51.9</v>
      </c>
      <c r="U75" s="710">
        <v>596</v>
      </c>
      <c r="V75" s="589">
        <v>398</v>
      </c>
      <c r="W75" s="235">
        <f>ROUND(((V75/U75-1)*100), 1)</f>
        <v>-33.200000000000003</v>
      </c>
      <c r="X75" s="587">
        <f t="shared" si="145"/>
        <v>423</v>
      </c>
      <c r="Y75" s="587">
        <f t="shared" si="146"/>
        <v>184</v>
      </c>
      <c r="Z75" s="571">
        <f t="shared" si="147"/>
        <v>-56.5</v>
      </c>
      <c r="AA75" s="719">
        <v>1019</v>
      </c>
      <c r="AB75" s="630">
        <v>582</v>
      </c>
      <c r="AC75" s="571">
        <f t="shared" si="131"/>
        <v>-42.9</v>
      </c>
      <c r="AD75" s="528">
        <f t="shared" si="137"/>
        <v>0</v>
      </c>
      <c r="AE75" s="587">
        <f t="shared" si="138"/>
        <v>72</v>
      </c>
      <c r="AF75" s="579">
        <v>0</v>
      </c>
      <c r="AG75" s="710">
        <v>1019</v>
      </c>
      <c r="AH75" s="589">
        <v>654</v>
      </c>
      <c r="AI75" s="235">
        <f t="shared" si="133"/>
        <v>-35.799999999999997</v>
      </c>
    </row>
    <row r="76" spans="1:35" s="605" customFormat="1" ht="15" customHeight="1">
      <c r="A76" s="676"/>
      <c r="B76" s="846"/>
      <c r="C76" s="611" t="s">
        <v>513</v>
      </c>
      <c r="D76" s="608">
        <v>110</v>
      </c>
      <c r="E76" s="608">
        <v>120</v>
      </c>
      <c r="F76" s="608">
        <v>1203</v>
      </c>
      <c r="G76" s="608">
        <v>364</v>
      </c>
      <c r="H76" s="608">
        <v>754</v>
      </c>
      <c r="I76" s="629">
        <v>50</v>
      </c>
      <c r="J76" s="589">
        <v>99</v>
      </c>
      <c r="K76" s="571">
        <f t="shared" si="134"/>
        <v>98</v>
      </c>
      <c r="L76" s="587">
        <f t="shared" si="139"/>
        <v>0</v>
      </c>
      <c r="M76" s="587">
        <f t="shared" si="140"/>
        <v>0</v>
      </c>
      <c r="N76" s="579">
        <v>0</v>
      </c>
      <c r="O76" s="587">
        <v>50</v>
      </c>
      <c r="P76" s="589">
        <v>99</v>
      </c>
      <c r="Q76" s="571">
        <f t="shared" si="136"/>
        <v>98</v>
      </c>
      <c r="R76" s="587">
        <f t="shared" si="142"/>
        <v>0</v>
      </c>
      <c r="S76" s="587">
        <f t="shared" si="143"/>
        <v>0</v>
      </c>
      <c r="T76" s="579">
        <v>0</v>
      </c>
      <c r="U76" s="710">
        <v>50</v>
      </c>
      <c r="V76" s="589">
        <v>99</v>
      </c>
      <c r="W76" s="571">
        <f>ROUND(((V76/U76-1)*100), 1)</f>
        <v>98</v>
      </c>
      <c r="X76" s="587">
        <f t="shared" si="145"/>
        <v>186</v>
      </c>
      <c r="Y76" s="587">
        <f t="shared" si="146"/>
        <v>0</v>
      </c>
      <c r="Z76" s="571">
        <f t="shared" si="147"/>
        <v>-100</v>
      </c>
      <c r="AA76" s="719">
        <v>236</v>
      </c>
      <c r="AB76" s="630">
        <v>99</v>
      </c>
      <c r="AC76" s="571">
        <f t="shared" si="131"/>
        <v>-58.1</v>
      </c>
      <c r="AD76" s="528">
        <f t="shared" si="137"/>
        <v>151</v>
      </c>
      <c r="AE76" s="587">
        <f t="shared" si="138"/>
        <v>0</v>
      </c>
      <c r="AF76" s="571">
        <f t="shared" si="148"/>
        <v>-100</v>
      </c>
      <c r="AG76" s="710">
        <v>387</v>
      </c>
      <c r="AH76" s="589">
        <v>99</v>
      </c>
      <c r="AI76" s="571">
        <f t="shared" si="133"/>
        <v>-74.400000000000006</v>
      </c>
    </row>
    <row r="77" spans="1:35" s="605" customFormat="1" ht="15" customHeight="1">
      <c r="A77" s="676"/>
      <c r="B77" s="846"/>
      <c r="C77" s="611" t="s">
        <v>519</v>
      </c>
      <c r="D77" s="608">
        <v>0</v>
      </c>
      <c r="E77" s="608">
        <v>0</v>
      </c>
      <c r="F77" s="608">
        <v>0</v>
      </c>
      <c r="G77" s="608">
        <v>0</v>
      </c>
      <c r="H77" s="608">
        <v>681</v>
      </c>
      <c r="I77" s="629">
        <v>0</v>
      </c>
      <c r="J77" s="589">
        <v>0</v>
      </c>
      <c r="K77" s="579">
        <v>0</v>
      </c>
      <c r="L77" s="587">
        <f t="shared" si="139"/>
        <v>0</v>
      </c>
      <c r="M77" s="587">
        <f t="shared" si="140"/>
        <v>0</v>
      </c>
      <c r="N77" s="579">
        <v>0</v>
      </c>
      <c r="O77" s="587">
        <v>0</v>
      </c>
      <c r="P77" s="589">
        <v>0</v>
      </c>
      <c r="Q77" s="579">
        <v>0</v>
      </c>
      <c r="R77" s="587">
        <f t="shared" si="142"/>
        <v>0</v>
      </c>
      <c r="S77" s="587">
        <f t="shared" si="143"/>
        <v>0</v>
      </c>
      <c r="T77" s="579">
        <v>0</v>
      </c>
      <c r="U77" s="710">
        <v>0</v>
      </c>
      <c r="V77" s="589">
        <v>0</v>
      </c>
      <c r="W77" s="579">
        <v>0</v>
      </c>
      <c r="X77" s="587">
        <f t="shared" si="145"/>
        <v>0</v>
      </c>
      <c r="Y77" s="587">
        <f t="shared" si="146"/>
        <v>0</v>
      </c>
      <c r="Z77" s="579">
        <v>0</v>
      </c>
      <c r="AA77" s="719">
        <v>0</v>
      </c>
      <c r="AB77" s="630">
        <v>0</v>
      </c>
      <c r="AC77" s="579">
        <v>0</v>
      </c>
      <c r="AD77" s="528">
        <f t="shared" si="137"/>
        <v>330</v>
      </c>
      <c r="AE77" s="587">
        <f t="shared" si="138"/>
        <v>0</v>
      </c>
      <c r="AF77" s="571">
        <f t="shared" si="148"/>
        <v>-100</v>
      </c>
      <c r="AG77" s="710">
        <v>330</v>
      </c>
      <c r="AH77" s="589">
        <v>0</v>
      </c>
      <c r="AI77" s="571">
        <f t="shared" si="133"/>
        <v>-100</v>
      </c>
    </row>
    <row r="78" spans="1:35" ht="15" customHeight="1">
      <c r="A78" s="92"/>
      <c r="B78" s="846"/>
      <c r="C78" s="39" t="s">
        <v>440</v>
      </c>
      <c r="D78" s="40">
        <v>507</v>
      </c>
      <c r="E78" s="40">
        <v>198</v>
      </c>
      <c r="F78" s="40">
        <v>573</v>
      </c>
      <c r="G78" s="40">
        <v>588</v>
      </c>
      <c r="H78" s="608">
        <v>597</v>
      </c>
      <c r="I78" s="629">
        <v>96</v>
      </c>
      <c r="J78" s="589">
        <v>0</v>
      </c>
      <c r="K78" s="571">
        <f t="shared" si="134"/>
        <v>-100</v>
      </c>
      <c r="L78" s="587">
        <f t="shared" si="139"/>
        <v>46</v>
      </c>
      <c r="M78" s="587">
        <f t="shared" si="140"/>
        <v>50</v>
      </c>
      <c r="N78" s="571">
        <f t="shared" si="141"/>
        <v>8.6999999999999993</v>
      </c>
      <c r="O78" s="587">
        <v>142</v>
      </c>
      <c r="P78" s="589">
        <v>50</v>
      </c>
      <c r="Q78" s="571">
        <f t="shared" si="136"/>
        <v>-64.8</v>
      </c>
      <c r="R78" s="587">
        <f t="shared" si="142"/>
        <v>50</v>
      </c>
      <c r="S78" s="587">
        <f t="shared" si="143"/>
        <v>100</v>
      </c>
      <c r="T78" s="571">
        <f t="shared" si="144"/>
        <v>100</v>
      </c>
      <c r="U78" s="710">
        <v>192</v>
      </c>
      <c r="V78" s="589">
        <v>150</v>
      </c>
      <c r="W78" s="235">
        <f>ROUND(((V78/U78-1)*100), 1)</f>
        <v>-21.9</v>
      </c>
      <c r="X78" s="587">
        <f t="shared" si="145"/>
        <v>142</v>
      </c>
      <c r="Y78" s="587">
        <f t="shared" si="146"/>
        <v>0</v>
      </c>
      <c r="Z78" s="571">
        <f t="shared" si="147"/>
        <v>-100</v>
      </c>
      <c r="AA78" s="719">
        <v>334</v>
      </c>
      <c r="AB78" s="630">
        <v>150</v>
      </c>
      <c r="AC78" s="571">
        <f t="shared" si="131"/>
        <v>-55.1</v>
      </c>
      <c r="AD78" s="528">
        <f t="shared" si="137"/>
        <v>46</v>
      </c>
      <c r="AE78" s="587">
        <f t="shared" si="138"/>
        <v>0</v>
      </c>
      <c r="AF78" s="571">
        <f t="shared" si="148"/>
        <v>-100</v>
      </c>
      <c r="AG78" s="710">
        <v>380</v>
      </c>
      <c r="AH78" s="589">
        <v>150</v>
      </c>
      <c r="AI78" s="571">
        <f t="shared" si="133"/>
        <v>-60.5</v>
      </c>
    </row>
    <row r="79" spans="1:35" ht="15" customHeight="1">
      <c r="A79" s="92"/>
      <c r="B79" s="846"/>
      <c r="C79" s="39" t="s">
        <v>160</v>
      </c>
      <c r="D79" s="40">
        <v>1845</v>
      </c>
      <c r="E79" s="40">
        <v>2590</v>
      </c>
      <c r="F79" s="40">
        <v>3908</v>
      </c>
      <c r="G79" s="40">
        <v>7541</v>
      </c>
      <c r="H79" s="608">
        <v>541</v>
      </c>
      <c r="I79" s="629">
        <v>0</v>
      </c>
      <c r="J79" s="589">
        <v>0</v>
      </c>
      <c r="K79" s="579">
        <v>0</v>
      </c>
      <c r="L79" s="587">
        <f t="shared" si="139"/>
        <v>0</v>
      </c>
      <c r="M79" s="587">
        <f t="shared" si="140"/>
        <v>0</v>
      </c>
      <c r="N79" s="579">
        <v>0</v>
      </c>
      <c r="O79" s="587">
        <v>0</v>
      </c>
      <c r="P79" s="589">
        <v>0</v>
      </c>
      <c r="Q79" s="579">
        <v>0</v>
      </c>
      <c r="R79" s="587">
        <f t="shared" si="142"/>
        <v>96</v>
      </c>
      <c r="S79" s="587">
        <f t="shared" si="143"/>
        <v>0</v>
      </c>
      <c r="T79" s="571">
        <f t="shared" si="144"/>
        <v>-100</v>
      </c>
      <c r="U79" s="710">
        <v>96</v>
      </c>
      <c r="V79" s="589">
        <v>0</v>
      </c>
      <c r="W79" s="571">
        <f>ROUND(((V79/U79-1)*100), 1)</f>
        <v>-100</v>
      </c>
      <c r="X79" s="587">
        <f t="shared" si="145"/>
        <v>0</v>
      </c>
      <c r="Y79" s="587">
        <f t="shared" si="146"/>
        <v>0</v>
      </c>
      <c r="Z79" s="579">
        <v>0</v>
      </c>
      <c r="AA79" s="719">
        <v>96</v>
      </c>
      <c r="AB79" s="630">
        <v>0</v>
      </c>
      <c r="AC79" s="571">
        <f t="shared" si="131"/>
        <v>-100</v>
      </c>
      <c r="AD79" s="528">
        <f t="shared" si="137"/>
        <v>0</v>
      </c>
      <c r="AE79" s="587">
        <f t="shared" si="138"/>
        <v>0</v>
      </c>
      <c r="AF79" s="579">
        <v>0</v>
      </c>
      <c r="AG79" s="710">
        <v>96</v>
      </c>
      <c r="AH79" s="589">
        <v>0</v>
      </c>
      <c r="AI79" s="571">
        <f t="shared" si="133"/>
        <v>-100</v>
      </c>
    </row>
    <row r="80" spans="1:35" s="605" customFormat="1" ht="15" customHeight="1">
      <c r="A80" s="676"/>
      <c r="B80" s="846"/>
      <c r="C80" s="611" t="s">
        <v>520</v>
      </c>
      <c r="D80" s="608">
        <v>23</v>
      </c>
      <c r="E80" s="608">
        <v>405</v>
      </c>
      <c r="F80" s="608">
        <v>282</v>
      </c>
      <c r="G80" s="608">
        <v>482</v>
      </c>
      <c r="H80" s="608">
        <v>480</v>
      </c>
      <c r="I80" s="629">
        <v>264</v>
      </c>
      <c r="J80" s="589">
        <v>0</v>
      </c>
      <c r="K80" s="571">
        <f t="shared" si="134"/>
        <v>-100</v>
      </c>
      <c r="L80" s="587">
        <f t="shared" si="139"/>
        <v>168</v>
      </c>
      <c r="M80" s="587">
        <f t="shared" si="140"/>
        <v>0</v>
      </c>
      <c r="N80" s="571">
        <f t="shared" si="141"/>
        <v>-100</v>
      </c>
      <c r="O80" s="587">
        <v>432</v>
      </c>
      <c r="P80" s="589">
        <v>0</v>
      </c>
      <c r="Q80" s="571">
        <f t="shared" si="136"/>
        <v>-100</v>
      </c>
      <c r="R80" s="587">
        <f t="shared" si="142"/>
        <v>48</v>
      </c>
      <c r="S80" s="587">
        <f t="shared" si="143"/>
        <v>0</v>
      </c>
      <c r="T80" s="571">
        <f t="shared" si="144"/>
        <v>-100</v>
      </c>
      <c r="U80" s="710">
        <v>480</v>
      </c>
      <c r="V80" s="589">
        <v>0</v>
      </c>
      <c r="W80" s="571">
        <f t="shared" ref="W80:W81" si="149">ROUND(((V80/U80-1)*100), 1)</f>
        <v>-100</v>
      </c>
      <c r="X80" s="587">
        <f t="shared" si="145"/>
        <v>0</v>
      </c>
      <c r="Y80" s="587">
        <f t="shared" si="146"/>
        <v>0</v>
      </c>
      <c r="Z80" s="579">
        <v>0</v>
      </c>
      <c r="AA80" s="719">
        <v>480</v>
      </c>
      <c r="AB80" s="630">
        <v>0</v>
      </c>
      <c r="AC80" s="571">
        <f t="shared" si="131"/>
        <v>-100</v>
      </c>
      <c r="AD80" s="528">
        <f t="shared" si="137"/>
        <v>0</v>
      </c>
      <c r="AE80" s="587">
        <f t="shared" si="138"/>
        <v>0</v>
      </c>
      <c r="AF80" s="579">
        <v>0</v>
      </c>
      <c r="AG80" s="710">
        <v>480</v>
      </c>
      <c r="AH80" s="589">
        <v>0</v>
      </c>
      <c r="AI80" s="571">
        <f t="shared" si="133"/>
        <v>-100</v>
      </c>
    </row>
    <row r="81" spans="1:35" s="605" customFormat="1" ht="15" customHeight="1">
      <c r="A81" s="676"/>
      <c r="B81" s="846"/>
      <c r="C81" s="611" t="s">
        <v>521</v>
      </c>
      <c r="D81" s="608">
        <v>0</v>
      </c>
      <c r="E81" s="608">
        <v>1012</v>
      </c>
      <c r="F81" s="608">
        <v>287</v>
      </c>
      <c r="G81" s="608">
        <v>484</v>
      </c>
      <c r="H81" s="608">
        <v>396</v>
      </c>
      <c r="I81" s="629">
        <v>44</v>
      </c>
      <c r="J81" s="589">
        <v>0</v>
      </c>
      <c r="K81" s="571">
        <f t="shared" si="134"/>
        <v>-100</v>
      </c>
      <c r="L81" s="587">
        <f t="shared" si="139"/>
        <v>0</v>
      </c>
      <c r="M81" s="587">
        <f t="shared" si="140"/>
        <v>0</v>
      </c>
      <c r="N81" s="579">
        <v>0</v>
      </c>
      <c r="O81" s="587">
        <v>44</v>
      </c>
      <c r="P81" s="589">
        <v>0</v>
      </c>
      <c r="Q81" s="571">
        <f t="shared" si="136"/>
        <v>-100</v>
      </c>
      <c r="R81" s="587">
        <f t="shared" si="142"/>
        <v>44</v>
      </c>
      <c r="S81" s="587">
        <f t="shared" si="143"/>
        <v>0</v>
      </c>
      <c r="T81" s="571">
        <f t="shared" si="144"/>
        <v>-100</v>
      </c>
      <c r="U81" s="710">
        <v>88</v>
      </c>
      <c r="V81" s="589">
        <v>0</v>
      </c>
      <c r="W81" s="571">
        <f t="shared" si="149"/>
        <v>-100</v>
      </c>
      <c r="X81" s="587">
        <f t="shared" si="145"/>
        <v>88</v>
      </c>
      <c r="Y81" s="587">
        <f t="shared" si="146"/>
        <v>0</v>
      </c>
      <c r="Z81" s="571">
        <f t="shared" si="147"/>
        <v>-100</v>
      </c>
      <c r="AA81" s="719">
        <v>176</v>
      </c>
      <c r="AB81" s="630">
        <v>0</v>
      </c>
      <c r="AC81" s="571">
        <f t="shared" si="131"/>
        <v>-100</v>
      </c>
      <c r="AD81" s="528">
        <f t="shared" si="137"/>
        <v>0</v>
      </c>
      <c r="AE81" s="587">
        <f t="shared" si="138"/>
        <v>0</v>
      </c>
      <c r="AF81" s="579">
        <v>0</v>
      </c>
      <c r="AG81" s="710">
        <v>176</v>
      </c>
      <c r="AH81" s="589">
        <v>0</v>
      </c>
      <c r="AI81" s="571">
        <f t="shared" si="133"/>
        <v>-100</v>
      </c>
    </row>
    <row r="82" spans="1:35" ht="15" customHeight="1">
      <c r="A82" s="92"/>
      <c r="B82" s="846"/>
      <c r="C82" s="39" t="s">
        <v>185</v>
      </c>
      <c r="D82" s="40">
        <v>501</v>
      </c>
      <c r="E82" s="40">
        <v>1263</v>
      </c>
      <c r="F82" s="40">
        <v>656</v>
      </c>
      <c r="G82" s="40">
        <v>198</v>
      </c>
      <c r="H82" s="608">
        <v>346</v>
      </c>
      <c r="I82" s="629">
        <v>0</v>
      </c>
      <c r="J82" s="589">
        <v>0</v>
      </c>
      <c r="K82" s="579">
        <v>0</v>
      </c>
      <c r="L82" s="587">
        <f t="shared" si="139"/>
        <v>0</v>
      </c>
      <c r="M82" s="587">
        <f t="shared" si="140"/>
        <v>0</v>
      </c>
      <c r="N82" s="579">
        <v>0</v>
      </c>
      <c r="O82" s="587">
        <v>0</v>
      </c>
      <c r="P82" s="589">
        <v>0</v>
      </c>
      <c r="Q82" s="579">
        <v>0</v>
      </c>
      <c r="R82" s="587">
        <f t="shared" si="142"/>
        <v>0</v>
      </c>
      <c r="S82" s="587">
        <f t="shared" si="143"/>
        <v>0</v>
      </c>
      <c r="T82" s="579">
        <v>0</v>
      </c>
      <c r="U82" s="710">
        <v>0</v>
      </c>
      <c r="V82" s="589">
        <v>0</v>
      </c>
      <c r="W82" s="579">
        <v>0</v>
      </c>
      <c r="X82" s="587">
        <f t="shared" si="145"/>
        <v>0</v>
      </c>
      <c r="Y82" s="587">
        <f t="shared" si="146"/>
        <v>0</v>
      </c>
      <c r="Z82" s="579">
        <v>0</v>
      </c>
      <c r="AA82" s="719">
        <v>0</v>
      </c>
      <c r="AB82" s="630">
        <v>0</v>
      </c>
      <c r="AC82" s="579">
        <v>0</v>
      </c>
      <c r="AD82" s="528">
        <f t="shared" si="137"/>
        <v>0</v>
      </c>
      <c r="AE82" s="587">
        <f t="shared" si="138"/>
        <v>0</v>
      </c>
      <c r="AF82" s="579">
        <v>0</v>
      </c>
      <c r="AG82" s="710">
        <v>0</v>
      </c>
      <c r="AH82" s="589">
        <v>0</v>
      </c>
      <c r="AI82" s="579">
        <v>0</v>
      </c>
    </row>
    <row r="83" spans="1:35" ht="15" customHeight="1">
      <c r="A83" s="92"/>
      <c r="B83" s="846"/>
      <c r="C83" s="39" t="s">
        <v>178</v>
      </c>
      <c r="D83" s="40">
        <v>856</v>
      </c>
      <c r="E83" s="40">
        <v>206</v>
      </c>
      <c r="F83" s="40">
        <v>43</v>
      </c>
      <c r="G83" s="40">
        <v>128</v>
      </c>
      <c r="H83" s="608">
        <v>342</v>
      </c>
      <c r="I83" s="629">
        <v>0</v>
      </c>
      <c r="J83" s="589">
        <v>86</v>
      </c>
      <c r="K83" s="579">
        <v>0</v>
      </c>
      <c r="L83" s="587">
        <f t="shared" si="139"/>
        <v>0</v>
      </c>
      <c r="M83" s="587">
        <f t="shared" si="140"/>
        <v>45</v>
      </c>
      <c r="N83" s="579">
        <v>0</v>
      </c>
      <c r="O83" s="587">
        <v>0</v>
      </c>
      <c r="P83" s="589">
        <v>131</v>
      </c>
      <c r="Q83" s="579">
        <v>0</v>
      </c>
      <c r="R83" s="587">
        <f t="shared" si="142"/>
        <v>0</v>
      </c>
      <c r="S83" s="587">
        <f t="shared" si="143"/>
        <v>88</v>
      </c>
      <c r="T83" s="579">
        <v>0</v>
      </c>
      <c r="U83" s="710">
        <v>0</v>
      </c>
      <c r="V83" s="589">
        <v>219</v>
      </c>
      <c r="W83" s="579">
        <v>0</v>
      </c>
      <c r="X83" s="587">
        <f t="shared" si="145"/>
        <v>64</v>
      </c>
      <c r="Y83" s="587">
        <f t="shared" si="146"/>
        <v>90</v>
      </c>
      <c r="Z83" s="571">
        <f t="shared" si="147"/>
        <v>40.6</v>
      </c>
      <c r="AA83" s="719">
        <v>64</v>
      </c>
      <c r="AB83" s="630">
        <v>309</v>
      </c>
      <c r="AC83" s="571">
        <f t="shared" si="131"/>
        <v>382.8</v>
      </c>
      <c r="AD83" s="528">
        <f t="shared" si="137"/>
        <v>0</v>
      </c>
      <c r="AE83" s="587">
        <f t="shared" si="138"/>
        <v>85</v>
      </c>
      <c r="AF83" s="579">
        <v>0</v>
      </c>
      <c r="AG83" s="710">
        <v>64</v>
      </c>
      <c r="AH83" s="589">
        <v>394</v>
      </c>
      <c r="AI83" s="571">
        <f t="shared" si="133"/>
        <v>515.6</v>
      </c>
    </row>
    <row r="84" spans="1:35" s="277" customFormat="1" ht="15" customHeight="1">
      <c r="A84" s="397"/>
      <c r="B84" s="846"/>
      <c r="C84" s="39" t="s">
        <v>433</v>
      </c>
      <c r="D84" s="40">
        <v>23</v>
      </c>
      <c r="E84" s="40">
        <v>25</v>
      </c>
      <c r="F84" s="40">
        <v>64</v>
      </c>
      <c r="G84" s="40">
        <v>630</v>
      </c>
      <c r="H84" s="608">
        <v>299</v>
      </c>
      <c r="I84" s="629">
        <v>0</v>
      </c>
      <c r="J84" s="589">
        <v>0</v>
      </c>
      <c r="K84" s="579">
        <v>0</v>
      </c>
      <c r="L84" s="587">
        <f t="shared" si="139"/>
        <v>0</v>
      </c>
      <c r="M84" s="587">
        <f t="shared" si="140"/>
        <v>0</v>
      </c>
      <c r="N84" s="579">
        <v>0</v>
      </c>
      <c r="O84" s="587">
        <v>0</v>
      </c>
      <c r="P84" s="589">
        <v>0</v>
      </c>
      <c r="Q84" s="579">
        <v>0</v>
      </c>
      <c r="R84" s="587">
        <f t="shared" si="142"/>
        <v>0</v>
      </c>
      <c r="S84" s="587">
        <f t="shared" si="143"/>
        <v>0</v>
      </c>
      <c r="T84" s="579">
        <v>0</v>
      </c>
      <c r="U84" s="710">
        <v>0</v>
      </c>
      <c r="V84" s="589">
        <v>0</v>
      </c>
      <c r="W84" s="579">
        <v>0</v>
      </c>
      <c r="X84" s="587">
        <f t="shared" si="145"/>
        <v>0</v>
      </c>
      <c r="Y84" s="587">
        <f t="shared" si="146"/>
        <v>0</v>
      </c>
      <c r="Z84" s="579">
        <v>0</v>
      </c>
      <c r="AA84" s="719">
        <v>0</v>
      </c>
      <c r="AB84" s="630">
        <v>0</v>
      </c>
      <c r="AC84" s="579">
        <v>0</v>
      </c>
      <c r="AD84" s="528">
        <f t="shared" si="137"/>
        <v>0</v>
      </c>
      <c r="AE84" s="587">
        <f t="shared" si="138"/>
        <v>0</v>
      </c>
      <c r="AF84" s="579">
        <v>0</v>
      </c>
      <c r="AG84" s="710">
        <v>0</v>
      </c>
      <c r="AH84" s="589">
        <v>0</v>
      </c>
      <c r="AI84" s="579">
        <v>0</v>
      </c>
    </row>
    <row r="85" spans="1:35" s="277" customFormat="1" ht="15" customHeight="1">
      <c r="A85" s="397"/>
      <c r="B85" s="846"/>
      <c r="C85" s="39" t="s">
        <v>182</v>
      </c>
      <c r="D85" s="40">
        <v>1300</v>
      </c>
      <c r="E85" s="40">
        <v>2426</v>
      </c>
      <c r="F85" s="40">
        <v>2791</v>
      </c>
      <c r="G85" s="40">
        <v>582</v>
      </c>
      <c r="H85" s="608">
        <v>250</v>
      </c>
      <c r="I85" s="629">
        <v>0</v>
      </c>
      <c r="J85" s="589">
        <v>0</v>
      </c>
      <c r="K85" s="579">
        <v>0</v>
      </c>
      <c r="L85" s="587">
        <f t="shared" si="139"/>
        <v>0</v>
      </c>
      <c r="M85" s="587">
        <f t="shared" si="140"/>
        <v>0</v>
      </c>
      <c r="N85" s="579">
        <v>0</v>
      </c>
      <c r="O85" s="587">
        <v>0</v>
      </c>
      <c r="P85" s="589">
        <v>0</v>
      </c>
      <c r="Q85" s="579">
        <v>0</v>
      </c>
      <c r="R85" s="587">
        <f t="shared" si="142"/>
        <v>0</v>
      </c>
      <c r="S85" s="587">
        <f t="shared" si="143"/>
        <v>0</v>
      </c>
      <c r="T85" s="579">
        <v>0</v>
      </c>
      <c r="U85" s="710">
        <v>0</v>
      </c>
      <c r="V85" s="589">
        <v>0</v>
      </c>
      <c r="W85" s="579">
        <v>0</v>
      </c>
      <c r="X85" s="587">
        <f t="shared" si="145"/>
        <v>0</v>
      </c>
      <c r="Y85" s="587">
        <f t="shared" si="146"/>
        <v>0</v>
      </c>
      <c r="Z85" s="579">
        <v>0</v>
      </c>
      <c r="AA85" s="719">
        <v>0</v>
      </c>
      <c r="AB85" s="630">
        <v>0</v>
      </c>
      <c r="AC85" s="579">
        <v>0</v>
      </c>
      <c r="AD85" s="528">
        <f t="shared" si="137"/>
        <v>0</v>
      </c>
      <c r="AE85" s="587">
        <f t="shared" si="138"/>
        <v>0</v>
      </c>
      <c r="AF85" s="579">
        <v>0</v>
      </c>
      <c r="AG85" s="710">
        <v>0</v>
      </c>
      <c r="AH85" s="589">
        <v>0</v>
      </c>
      <c r="AI85" s="579">
        <v>0</v>
      </c>
    </row>
    <row r="86" spans="1:35" s="277" customFormat="1" ht="15" customHeight="1">
      <c r="A86" s="397"/>
      <c r="B86" s="846"/>
      <c r="C86" s="39" t="s">
        <v>49</v>
      </c>
      <c r="D86" s="40">
        <v>1058</v>
      </c>
      <c r="E86" s="40">
        <v>402</v>
      </c>
      <c r="F86" s="40">
        <v>211</v>
      </c>
      <c r="G86" s="40">
        <v>0</v>
      </c>
      <c r="H86" s="608">
        <v>246</v>
      </c>
      <c r="I86" s="629">
        <v>0</v>
      </c>
      <c r="J86" s="589">
        <v>0</v>
      </c>
      <c r="K86" s="579">
        <v>0</v>
      </c>
      <c r="L86" s="587">
        <f t="shared" si="139"/>
        <v>0</v>
      </c>
      <c r="M86" s="587">
        <f t="shared" si="140"/>
        <v>0</v>
      </c>
      <c r="N86" s="579">
        <v>0</v>
      </c>
      <c r="O86" s="587">
        <v>0</v>
      </c>
      <c r="P86" s="589">
        <v>0</v>
      </c>
      <c r="Q86" s="579">
        <v>0</v>
      </c>
      <c r="R86" s="587">
        <f t="shared" si="142"/>
        <v>0</v>
      </c>
      <c r="S86" s="587">
        <f t="shared" si="143"/>
        <v>0</v>
      </c>
      <c r="T86" s="579">
        <v>0</v>
      </c>
      <c r="U86" s="710">
        <v>0</v>
      </c>
      <c r="V86" s="589">
        <v>0</v>
      </c>
      <c r="W86" s="579">
        <v>0</v>
      </c>
      <c r="X86" s="587">
        <f t="shared" si="145"/>
        <v>0</v>
      </c>
      <c r="Y86" s="587">
        <f t="shared" si="146"/>
        <v>0</v>
      </c>
      <c r="Z86" s="579">
        <v>0</v>
      </c>
      <c r="AA86" s="719">
        <v>0</v>
      </c>
      <c r="AB86" s="630">
        <v>0</v>
      </c>
      <c r="AC86" s="579">
        <v>0</v>
      </c>
      <c r="AD86" s="528">
        <f t="shared" si="137"/>
        <v>148</v>
      </c>
      <c r="AE86" s="587">
        <f t="shared" si="138"/>
        <v>0</v>
      </c>
      <c r="AF86" s="571">
        <f t="shared" si="148"/>
        <v>-100</v>
      </c>
      <c r="AG86" s="710">
        <v>148</v>
      </c>
      <c r="AH86" s="589">
        <v>0</v>
      </c>
      <c r="AI86" s="571">
        <f t="shared" ref="AI86:AI88" si="150">ROUND(((AH86/AG86-1)*100), 1)</f>
        <v>-100</v>
      </c>
    </row>
    <row r="87" spans="1:35" ht="15" customHeight="1">
      <c r="A87" s="92"/>
      <c r="B87" s="846"/>
      <c r="C87" s="39" t="s">
        <v>187</v>
      </c>
      <c r="D87" s="40">
        <v>165</v>
      </c>
      <c r="E87" s="40">
        <v>430</v>
      </c>
      <c r="F87" s="40">
        <v>495</v>
      </c>
      <c r="G87" s="40">
        <v>379</v>
      </c>
      <c r="H87" s="608">
        <v>126</v>
      </c>
      <c r="I87" s="629">
        <v>50</v>
      </c>
      <c r="J87" s="589">
        <v>0</v>
      </c>
      <c r="K87" s="571">
        <f t="shared" si="134"/>
        <v>-100</v>
      </c>
      <c r="L87" s="587">
        <f t="shared" si="139"/>
        <v>0</v>
      </c>
      <c r="M87" s="587">
        <f t="shared" si="140"/>
        <v>0</v>
      </c>
      <c r="N87" s="579">
        <v>0</v>
      </c>
      <c r="O87" s="587">
        <v>50</v>
      </c>
      <c r="P87" s="589">
        <v>0</v>
      </c>
      <c r="Q87" s="571">
        <f t="shared" si="136"/>
        <v>-100</v>
      </c>
      <c r="R87" s="587">
        <f t="shared" si="142"/>
        <v>76</v>
      </c>
      <c r="S87" s="587">
        <f t="shared" si="143"/>
        <v>51</v>
      </c>
      <c r="T87" s="571">
        <f t="shared" si="144"/>
        <v>-32.9</v>
      </c>
      <c r="U87" s="710">
        <v>126</v>
      </c>
      <c r="V87" s="589">
        <v>51</v>
      </c>
      <c r="W87" s="571">
        <f t="shared" ref="W87:W88" si="151">ROUND(((V87/U87-1)*100), 1)</f>
        <v>-59.5</v>
      </c>
      <c r="X87" s="587">
        <f t="shared" si="145"/>
        <v>0</v>
      </c>
      <c r="Y87" s="587">
        <f t="shared" si="146"/>
        <v>108</v>
      </c>
      <c r="Z87" s="579">
        <v>0</v>
      </c>
      <c r="AA87" s="719">
        <v>126</v>
      </c>
      <c r="AB87" s="630">
        <v>159</v>
      </c>
      <c r="AC87" s="571">
        <f t="shared" si="131"/>
        <v>26.2</v>
      </c>
      <c r="AD87" s="528">
        <f t="shared" si="137"/>
        <v>0</v>
      </c>
      <c r="AE87" s="587">
        <f t="shared" si="138"/>
        <v>0</v>
      </c>
      <c r="AF87" s="579">
        <v>0</v>
      </c>
      <c r="AG87" s="710">
        <v>126</v>
      </c>
      <c r="AH87" s="589">
        <v>159</v>
      </c>
      <c r="AI87" s="571">
        <f t="shared" si="150"/>
        <v>26.2</v>
      </c>
    </row>
    <row r="88" spans="1:35" ht="15" customHeight="1">
      <c r="A88" s="92"/>
      <c r="B88" s="846"/>
      <c r="C88" s="39" t="s">
        <v>184</v>
      </c>
      <c r="D88" s="40">
        <v>450</v>
      </c>
      <c r="E88" s="40">
        <v>1346</v>
      </c>
      <c r="F88" s="40">
        <v>50</v>
      </c>
      <c r="G88" s="40">
        <v>168</v>
      </c>
      <c r="H88" s="608">
        <v>125</v>
      </c>
      <c r="I88" s="629">
        <v>0</v>
      </c>
      <c r="J88" s="589">
        <v>0</v>
      </c>
      <c r="K88" s="579">
        <v>0</v>
      </c>
      <c r="L88" s="587">
        <f t="shared" si="139"/>
        <v>0</v>
      </c>
      <c r="M88" s="587">
        <f t="shared" si="140"/>
        <v>0</v>
      </c>
      <c r="N88" s="579">
        <v>0</v>
      </c>
      <c r="O88" s="587">
        <v>0</v>
      </c>
      <c r="P88" s="589">
        <v>0</v>
      </c>
      <c r="Q88" s="579">
        <v>0</v>
      </c>
      <c r="R88" s="587">
        <f t="shared" si="142"/>
        <v>125</v>
      </c>
      <c r="S88" s="587">
        <f t="shared" si="143"/>
        <v>0</v>
      </c>
      <c r="T88" s="571">
        <f t="shared" si="144"/>
        <v>-100</v>
      </c>
      <c r="U88" s="710">
        <v>125</v>
      </c>
      <c r="V88" s="589">
        <v>0</v>
      </c>
      <c r="W88" s="571">
        <f t="shared" si="151"/>
        <v>-100</v>
      </c>
      <c r="X88" s="587">
        <f t="shared" si="145"/>
        <v>0</v>
      </c>
      <c r="Y88" s="587">
        <f t="shared" si="146"/>
        <v>0</v>
      </c>
      <c r="Z88" s="579">
        <v>0</v>
      </c>
      <c r="AA88" s="719">
        <v>125</v>
      </c>
      <c r="AB88" s="630">
        <v>0</v>
      </c>
      <c r="AC88" s="571">
        <f t="shared" si="131"/>
        <v>-100</v>
      </c>
      <c r="AD88" s="528">
        <f t="shared" si="137"/>
        <v>0</v>
      </c>
      <c r="AE88" s="587">
        <f t="shared" si="138"/>
        <v>0</v>
      </c>
      <c r="AF88" s="579">
        <v>0</v>
      </c>
      <c r="AG88" s="710">
        <v>125</v>
      </c>
      <c r="AH88" s="589">
        <v>0</v>
      </c>
      <c r="AI88" s="571">
        <f t="shared" si="150"/>
        <v>-100</v>
      </c>
    </row>
    <row r="89" spans="1:35" ht="15" customHeight="1">
      <c r="A89" s="92"/>
      <c r="B89" s="846"/>
      <c r="C89" s="39" t="s">
        <v>441</v>
      </c>
      <c r="D89" s="40">
        <v>149</v>
      </c>
      <c r="E89" s="40">
        <v>214</v>
      </c>
      <c r="F89" s="40">
        <v>1194</v>
      </c>
      <c r="G89" s="40">
        <v>772</v>
      </c>
      <c r="H89" s="608">
        <v>115</v>
      </c>
      <c r="I89" s="629">
        <v>5</v>
      </c>
      <c r="J89" s="589">
        <v>96</v>
      </c>
      <c r="K89" s="571">
        <f t="shared" si="134"/>
        <v>1820</v>
      </c>
      <c r="L89" s="587">
        <f t="shared" si="139"/>
        <v>0</v>
      </c>
      <c r="M89" s="587">
        <f t="shared" si="140"/>
        <v>0</v>
      </c>
      <c r="N89" s="579">
        <v>0</v>
      </c>
      <c r="O89" s="587">
        <v>5</v>
      </c>
      <c r="P89" s="589">
        <v>96</v>
      </c>
      <c r="Q89" s="571">
        <f t="shared" si="136"/>
        <v>1820</v>
      </c>
      <c r="R89" s="587">
        <f t="shared" si="142"/>
        <v>21</v>
      </c>
      <c r="S89" s="587">
        <f t="shared" si="143"/>
        <v>0</v>
      </c>
      <c r="T89" s="571">
        <f t="shared" si="144"/>
        <v>-100</v>
      </c>
      <c r="U89" s="710">
        <v>26</v>
      </c>
      <c r="V89" s="589">
        <v>96</v>
      </c>
      <c r="W89" s="571">
        <f>ROUND(((V89/U89-1)*100), 1)</f>
        <v>269.2</v>
      </c>
      <c r="X89" s="587">
        <f t="shared" si="145"/>
        <v>0</v>
      </c>
      <c r="Y89" s="587">
        <f t="shared" si="146"/>
        <v>0</v>
      </c>
      <c r="Z89" s="579">
        <v>0</v>
      </c>
      <c r="AA89" s="719">
        <v>26</v>
      </c>
      <c r="AB89" s="630">
        <v>96</v>
      </c>
      <c r="AC89" s="571">
        <f t="shared" si="131"/>
        <v>269.2</v>
      </c>
      <c r="AD89" s="528">
        <f t="shared" si="137"/>
        <v>21</v>
      </c>
      <c r="AE89" s="587">
        <f t="shared" si="138"/>
        <v>0</v>
      </c>
      <c r="AF89" s="571">
        <f t="shared" si="148"/>
        <v>-100</v>
      </c>
      <c r="AG89" s="710">
        <v>47</v>
      </c>
      <c r="AH89" s="589">
        <v>96</v>
      </c>
      <c r="AI89" s="571">
        <f t="shared" ref="AI89:AI94" si="152">ROUND(((AH89/AG89-1)*100), 1)</f>
        <v>104.3</v>
      </c>
    </row>
    <row r="90" spans="1:35" ht="15" customHeight="1">
      <c r="A90" s="92"/>
      <c r="B90" s="846"/>
      <c r="C90" s="39" t="s">
        <v>173</v>
      </c>
      <c r="D90" s="40">
        <v>6835</v>
      </c>
      <c r="E90" s="40">
        <v>3156</v>
      </c>
      <c r="F90" s="40">
        <v>3240</v>
      </c>
      <c r="G90" s="40">
        <v>1796</v>
      </c>
      <c r="H90" s="608">
        <v>100</v>
      </c>
      <c r="I90" s="629">
        <v>0</v>
      </c>
      <c r="J90" s="589">
        <v>0</v>
      </c>
      <c r="K90" s="579">
        <v>0</v>
      </c>
      <c r="L90" s="587">
        <f t="shared" si="139"/>
        <v>0</v>
      </c>
      <c r="M90" s="587">
        <f t="shared" si="140"/>
        <v>78</v>
      </c>
      <c r="N90" s="579">
        <v>0</v>
      </c>
      <c r="O90" s="587">
        <v>0</v>
      </c>
      <c r="P90" s="589">
        <v>78</v>
      </c>
      <c r="Q90" s="579">
        <v>0</v>
      </c>
      <c r="R90" s="587">
        <f t="shared" si="142"/>
        <v>0</v>
      </c>
      <c r="S90" s="587">
        <f t="shared" si="143"/>
        <v>220</v>
      </c>
      <c r="T90" s="579">
        <v>0</v>
      </c>
      <c r="U90" s="710">
        <v>0</v>
      </c>
      <c r="V90" s="589">
        <v>298</v>
      </c>
      <c r="W90" s="579">
        <v>0</v>
      </c>
      <c r="X90" s="587">
        <f t="shared" si="145"/>
        <v>0</v>
      </c>
      <c r="Y90" s="587">
        <f t="shared" si="146"/>
        <v>96</v>
      </c>
      <c r="Z90" s="579">
        <v>0</v>
      </c>
      <c r="AA90" s="719">
        <v>0</v>
      </c>
      <c r="AB90" s="630">
        <v>394</v>
      </c>
      <c r="AC90" s="579">
        <v>0</v>
      </c>
      <c r="AD90" s="528">
        <f t="shared" ref="AD90:AD93" si="153">AG90-AA90</f>
        <v>0</v>
      </c>
      <c r="AE90" s="468">
        <f t="shared" ref="AE90:AE93" si="154">AH90-AB90</f>
        <v>0</v>
      </c>
      <c r="AF90" s="579">
        <v>0</v>
      </c>
      <c r="AG90" s="710">
        <v>0</v>
      </c>
      <c r="AH90" s="589">
        <v>394</v>
      </c>
      <c r="AI90" s="579">
        <v>0</v>
      </c>
    </row>
    <row r="91" spans="1:35" ht="15" customHeight="1">
      <c r="A91" s="92"/>
      <c r="B91" s="846"/>
      <c r="C91" s="39" t="s">
        <v>157</v>
      </c>
      <c r="D91" s="40">
        <v>681</v>
      </c>
      <c r="E91" s="40">
        <v>1168</v>
      </c>
      <c r="F91" s="40">
        <v>100</v>
      </c>
      <c r="G91" s="40">
        <v>814</v>
      </c>
      <c r="H91" s="608">
        <v>99</v>
      </c>
      <c r="I91" s="629">
        <v>0</v>
      </c>
      <c r="J91" s="589">
        <v>149</v>
      </c>
      <c r="K91" s="579">
        <v>0</v>
      </c>
      <c r="L91" s="359">
        <f t="shared" ref="L91:L93" si="155">O91-I91</f>
        <v>0</v>
      </c>
      <c r="M91" s="359">
        <f t="shared" ref="M91:M93" si="156">P91-J91</f>
        <v>101</v>
      </c>
      <c r="N91" s="579">
        <v>0</v>
      </c>
      <c r="O91" s="587">
        <v>0</v>
      </c>
      <c r="P91" s="589">
        <v>250</v>
      </c>
      <c r="Q91" s="579">
        <v>0</v>
      </c>
      <c r="R91" s="587">
        <f t="shared" si="142"/>
        <v>0</v>
      </c>
      <c r="S91" s="587">
        <f t="shared" si="143"/>
        <v>0</v>
      </c>
      <c r="T91" s="579">
        <v>0</v>
      </c>
      <c r="U91" s="710">
        <v>0</v>
      </c>
      <c r="V91" s="589">
        <v>250</v>
      </c>
      <c r="W91" s="579">
        <v>0</v>
      </c>
      <c r="X91" s="468">
        <f t="shared" ref="X91:X93" si="157">AA91-U91</f>
        <v>0</v>
      </c>
      <c r="Y91" s="468">
        <f t="shared" ref="Y91:Y93" si="158">AB91-V91</f>
        <v>0</v>
      </c>
      <c r="Z91" s="462">
        <v>0</v>
      </c>
      <c r="AA91" s="719">
        <v>0</v>
      </c>
      <c r="AB91" s="630">
        <v>250</v>
      </c>
      <c r="AC91" s="579">
        <v>0</v>
      </c>
      <c r="AD91" s="528">
        <f t="shared" si="153"/>
        <v>0</v>
      </c>
      <c r="AE91" s="468">
        <f t="shared" si="154"/>
        <v>0</v>
      </c>
      <c r="AF91" s="579">
        <v>0</v>
      </c>
      <c r="AG91" s="710">
        <v>0</v>
      </c>
      <c r="AH91" s="589">
        <v>250</v>
      </c>
      <c r="AI91" s="579">
        <v>0</v>
      </c>
    </row>
    <row r="92" spans="1:35" s="605" customFormat="1" ht="15" customHeight="1">
      <c r="A92" s="708"/>
      <c r="B92" s="846"/>
      <c r="C92" s="611" t="s">
        <v>181</v>
      </c>
      <c r="D92" s="608">
        <v>1117</v>
      </c>
      <c r="E92" s="608">
        <v>3432</v>
      </c>
      <c r="F92" s="608">
        <v>2575</v>
      </c>
      <c r="G92" s="608">
        <v>868</v>
      </c>
      <c r="H92" s="608">
        <v>97</v>
      </c>
      <c r="I92" s="629">
        <v>0</v>
      </c>
      <c r="J92" s="589">
        <v>0</v>
      </c>
      <c r="K92" s="579">
        <v>0</v>
      </c>
      <c r="L92" s="587">
        <f t="shared" ref="L92" si="159">O92-I92</f>
        <v>0</v>
      </c>
      <c r="M92" s="587">
        <f t="shared" ref="M92" si="160">P92-J92</f>
        <v>196</v>
      </c>
      <c r="N92" s="579">
        <v>0</v>
      </c>
      <c r="O92" s="587">
        <v>0</v>
      </c>
      <c r="P92" s="589">
        <v>196</v>
      </c>
      <c r="Q92" s="579">
        <v>0</v>
      </c>
      <c r="R92" s="587">
        <f t="shared" si="142"/>
        <v>0</v>
      </c>
      <c r="S92" s="587">
        <f t="shared" si="143"/>
        <v>100</v>
      </c>
      <c r="T92" s="579">
        <v>0</v>
      </c>
      <c r="U92" s="710">
        <v>0</v>
      </c>
      <c r="V92" s="589">
        <v>296</v>
      </c>
      <c r="W92" s="579">
        <v>0</v>
      </c>
      <c r="X92" s="587">
        <f t="shared" ref="X92" si="161">AA92-U92</f>
        <v>0</v>
      </c>
      <c r="Y92" s="587">
        <f t="shared" ref="Y92" si="162">AB92-V92</f>
        <v>51</v>
      </c>
      <c r="Z92" s="579">
        <v>0</v>
      </c>
      <c r="AA92" s="719">
        <v>0</v>
      </c>
      <c r="AB92" s="630">
        <v>347</v>
      </c>
      <c r="AC92" s="579">
        <v>0</v>
      </c>
      <c r="AD92" s="528">
        <f t="shared" ref="AD92" si="163">AG92-AA92</f>
        <v>0</v>
      </c>
      <c r="AE92" s="587">
        <f t="shared" ref="AE92" si="164">AH92-AB92</f>
        <v>100</v>
      </c>
      <c r="AF92" s="579">
        <v>0</v>
      </c>
      <c r="AG92" s="710">
        <v>0</v>
      </c>
      <c r="AH92" s="589">
        <v>447</v>
      </c>
      <c r="AI92" s="579">
        <v>0</v>
      </c>
    </row>
    <row r="93" spans="1:35" ht="15" customHeight="1">
      <c r="A93" s="92"/>
      <c r="B93" s="846"/>
      <c r="C93" s="611" t="s">
        <v>590</v>
      </c>
      <c r="D93" s="40">
        <v>0</v>
      </c>
      <c r="E93" s="608">
        <v>0</v>
      </c>
      <c r="F93" s="608">
        <v>0</v>
      </c>
      <c r="G93" s="608">
        <v>0</v>
      </c>
      <c r="H93" s="608">
        <v>0</v>
      </c>
      <c r="I93" s="629">
        <v>0</v>
      </c>
      <c r="J93" s="589">
        <v>771</v>
      </c>
      <c r="K93" s="171">
        <v>0</v>
      </c>
      <c r="L93" s="359">
        <f t="shared" si="155"/>
        <v>0</v>
      </c>
      <c r="M93" s="359">
        <f t="shared" si="156"/>
        <v>0</v>
      </c>
      <c r="N93" s="579">
        <v>0</v>
      </c>
      <c r="O93" s="587">
        <v>0</v>
      </c>
      <c r="P93" s="589">
        <v>771</v>
      </c>
      <c r="Q93" s="579">
        <v>0</v>
      </c>
      <c r="R93" s="359">
        <f t="shared" ref="R93" si="165">U93-O93</f>
        <v>0</v>
      </c>
      <c r="S93" s="359">
        <f t="shared" ref="S93" si="166">V93-P93</f>
        <v>1069</v>
      </c>
      <c r="T93" s="579">
        <v>0</v>
      </c>
      <c r="U93" s="710">
        <v>0</v>
      </c>
      <c r="V93" s="589">
        <v>1840</v>
      </c>
      <c r="W93" s="579">
        <v>0</v>
      </c>
      <c r="X93" s="468">
        <f t="shared" si="157"/>
        <v>0</v>
      </c>
      <c r="Y93" s="468">
        <f t="shared" si="158"/>
        <v>751</v>
      </c>
      <c r="Z93" s="579">
        <v>0</v>
      </c>
      <c r="AA93" s="719">
        <v>0</v>
      </c>
      <c r="AB93" s="630">
        <v>2591</v>
      </c>
      <c r="AC93" s="579">
        <v>0</v>
      </c>
      <c r="AD93" s="528">
        <f t="shared" si="153"/>
        <v>0</v>
      </c>
      <c r="AE93" s="468">
        <f t="shared" si="154"/>
        <v>0</v>
      </c>
      <c r="AF93" s="579">
        <v>0</v>
      </c>
      <c r="AG93" s="710">
        <v>0</v>
      </c>
      <c r="AH93" s="589">
        <v>2591</v>
      </c>
      <c r="AI93" s="579">
        <v>0</v>
      </c>
    </row>
    <row r="94" spans="1:35" ht="12" customHeight="1">
      <c r="A94" s="92"/>
      <c r="B94" s="846"/>
      <c r="C94" s="39" t="s">
        <v>164</v>
      </c>
      <c r="D94" s="40">
        <f t="shared" ref="D94:J94" si="167">D95-SUM(D68:D93)</f>
        <v>7007</v>
      </c>
      <c r="E94" s="40">
        <f t="shared" si="167"/>
        <v>10509</v>
      </c>
      <c r="F94" s="40">
        <f t="shared" si="167"/>
        <v>6852</v>
      </c>
      <c r="G94" s="40">
        <f t="shared" si="167"/>
        <v>3503</v>
      </c>
      <c r="H94" s="608">
        <f t="shared" si="167"/>
        <v>1472</v>
      </c>
      <c r="I94" s="630">
        <f t="shared" si="167"/>
        <v>170</v>
      </c>
      <c r="J94" s="589">
        <f t="shared" si="167"/>
        <v>458</v>
      </c>
      <c r="K94" s="85">
        <f>ROUND(((J94/I94-1)*100), 1)</f>
        <v>169.4</v>
      </c>
      <c r="L94" s="359">
        <f>L95-SUM(L68:L93)</f>
        <v>0</v>
      </c>
      <c r="M94" s="366">
        <f>M95-SUM(M68:M93)</f>
        <v>283</v>
      </c>
      <c r="N94" s="580">
        <v>0</v>
      </c>
      <c r="O94" s="589">
        <f>O95-SUM(O68:O93)</f>
        <v>170</v>
      </c>
      <c r="P94" s="589">
        <f>P95-SUM(P68:P93)</f>
        <v>741</v>
      </c>
      <c r="Q94" s="85">
        <f>ROUND(((P94/O94-1)*100), 1)</f>
        <v>335.9</v>
      </c>
      <c r="R94" s="359">
        <f>R95-SUM(R68:R93)</f>
        <v>88</v>
      </c>
      <c r="S94" s="366">
        <f>S95-SUM(S68:S93)</f>
        <v>703</v>
      </c>
      <c r="T94" s="85">
        <f>ROUND(((S94/R94-1)*100), 1)</f>
        <v>698.9</v>
      </c>
      <c r="U94" s="589">
        <f>U95-SUM(U68:U93)</f>
        <v>258</v>
      </c>
      <c r="V94" s="589">
        <f>V95-SUM(V68:V93)</f>
        <v>1444</v>
      </c>
      <c r="W94" s="85">
        <f>ROUND(((V94/U94-1)*100), 1)</f>
        <v>459.7</v>
      </c>
      <c r="X94" s="468">
        <f>X95-SUM(X68:X93)</f>
        <v>369</v>
      </c>
      <c r="Y94" s="366">
        <f>Y95-SUM(Y68:Y93)</f>
        <v>801</v>
      </c>
      <c r="Z94" s="85">
        <f>ROUND(((Y94/X94-1)*100), 1)</f>
        <v>117.1</v>
      </c>
      <c r="AA94" s="630">
        <f>AA95-SUM(AA68:AA93)</f>
        <v>627</v>
      </c>
      <c r="AB94" s="630">
        <f>AB95-SUM(AB68:AB93)</f>
        <v>2245</v>
      </c>
      <c r="AC94" s="85">
        <f t="shared" ref="AC94" si="168">ROUND(((AB94/AA94-1)*100), 1)</f>
        <v>258.10000000000002</v>
      </c>
      <c r="AD94" s="528">
        <f>AD95-SUM(AD68:AD93)</f>
        <v>0</v>
      </c>
      <c r="AE94" s="366">
        <f>AE95-SUM(AE68:AE93)</f>
        <v>192</v>
      </c>
      <c r="AF94" s="580">
        <v>0</v>
      </c>
      <c r="AG94" s="589">
        <f>AG95-SUM(AG68:AG93)</f>
        <v>627</v>
      </c>
      <c r="AH94" s="589">
        <f>AH95-SUM(AH68:AH93)</f>
        <v>2437</v>
      </c>
      <c r="AI94" s="85">
        <f t="shared" si="152"/>
        <v>288.7</v>
      </c>
    </row>
    <row r="95" spans="1:35" ht="15" customHeight="1">
      <c r="A95" s="92"/>
      <c r="B95" s="846"/>
      <c r="C95" s="160" t="s">
        <v>273</v>
      </c>
      <c r="D95" s="42">
        <v>45058</v>
      </c>
      <c r="E95" s="42">
        <v>55207</v>
      </c>
      <c r="F95" s="42">
        <v>52066</v>
      </c>
      <c r="G95" s="42">
        <v>54431</v>
      </c>
      <c r="H95" s="609">
        <v>45472</v>
      </c>
      <c r="I95" s="631">
        <v>4699</v>
      </c>
      <c r="J95" s="585">
        <v>4216</v>
      </c>
      <c r="K95" s="482">
        <f t="shared" ref="K95:K96" si="169">ROUND(((J95/I95-1)*100), 1)</f>
        <v>-10.3</v>
      </c>
      <c r="L95" s="376">
        <f>O95-I95</f>
        <v>2917</v>
      </c>
      <c r="M95" s="582">
        <f>P95-J95</f>
        <v>2562</v>
      </c>
      <c r="N95" s="615">
        <f t="shared" ref="N95:N96" si="170">ROUND(((M95/L95-1)*100), 1)</f>
        <v>-12.2</v>
      </c>
      <c r="O95" s="585">
        <v>7616</v>
      </c>
      <c r="P95" s="582">
        <v>6778</v>
      </c>
      <c r="Q95" s="615">
        <f t="shared" ref="Q95:Q96" si="171">ROUND(((P95/O95-1)*100), 1)</f>
        <v>-11</v>
      </c>
      <c r="R95" s="376">
        <f>U95-O95</f>
        <v>4516</v>
      </c>
      <c r="S95" s="582">
        <f>V95-P95</f>
        <v>4888</v>
      </c>
      <c r="T95" s="615">
        <f t="shared" ref="T95:T96" si="172">ROUND(((S95/R95-1)*100), 1)</f>
        <v>8.1999999999999993</v>
      </c>
      <c r="U95" s="585">
        <v>12132</v>
      </c>
      <c r="V95" s="582">
        <v>11666</v>
      </c>
      <c r="W95" s="615">
        <f t="shared" ref="W95:W96" si="173">ROUND(((V95/U95-1)*100), 1)</f>
        <v>-3.8</v>
      </c>
      <c r="X95" s="376">
        <f>AA95-U95</f>
        <v>4120</v>
      </c>
      <c r="Y95" s="376">
        <f>AB95-V95</f>
        <v>5537</v>
      </c>
      <c r="Z95" s="482">
        <f t="shared" ref="Z95:Z96" si="174">ROUND(((Y95/X95-1)*100), 1)</f>
        <v>34.4</v>
      </c>
      <c r="AA95" s="631">
        <v>16252</v>
      </c>
      <c r="AB95" s="632">
        <v>17203</v>
      </c>
      <c r="AC95" s="482">
        <f t="shared" ref="AC95:AC96" si="175">ROUND(((AB95/AA95-1)*100), 1)</f>
        <v>5.9</v>
      </c>
      <c r="AD95" s="529">
        <f>AG95-AA95</f>
        <v>2440</v>
      </c>
      <c r="AE95" s="582">
        <f>AH95-AB95</f>
        <v>3530</v>
      </c>
      <c r="AF95" s="615">
        <f t="shared" ref="AF95:AF96" si="176">ROUND(((AE95/AD95-1)*100), 1)</f>
        <v>44.7</v>
      </c>
      <c r="AG95" s="728">
        <v>18692</v>
      </c>
      <c r="AH95" s="585">
        <v>20733</v>
      </c>
      <c r="AI95" s="615">
        <f t="shared" ref="AI95:AI96" si="177">ROUND(((AH95/AG95-1)*100), 1)</f>
        <v>10.9</v>
      </c>
    </row>
    <row r="96" spans="1:35" ht="15" customHeight="1">
      <c r="A96" s="8"/>
      <c r="B96" s="844" t="s">
        <v>171</v>
      </c>
      <c r="C96" s="828"/>
      <c r="D96" s="42">
        <f t="shared" ref="D96:J96" si="178">SUM(D67+D95)</f>
        <v>133252</v>
      </c>
      <c r="E96" s="42">
        <f t="shared" si="178"/>
        <v>129570</v>
      </c>
      <c r="F96" s="42">
        <f t="shared" si="178"/>
        <v>143766</v>
      </c>
      <c r="G96" s="42">
        <f t="shared" si="178"/>
        <v>124960</v>
      </c>
      <c r="H96" s="609">
        <f t="shared" si="178"/>
        <v>139459</v>
      </c>
      <c r="I96" s="632">
        <f t="shared" si="178"/>
        <v>10846</v>
      </c>
      <c r="J96" s="582">
        <f t="shared" si="178"/>
        <v>13058</v>
      </c>
      <c r="K96" s="482">
        <f t="shared" si="169"/>
        <v>20.399999999999999</v>
      </c>
      <c r="L96" s="376">
        <f>SUM(L67+L95)</f>
        <v>7508</v>
      </c>
      <c r="M96" s="582">
        <f>SUM(M67+M95)</f>
        <v>10020</v>
      </c>
      <c r="N96" s="615">
        <f t="shared" si="170"/>
        <v>33.5</v>
      </c>
      <c r="O96" s="582">
        <f>SUM(O67+O95)</f>
        <v>18354</v>
      </c>
      <c r="P96" s="582">
        <f>SUM(P67+P95)</f>
        <v>23078</v>
      </c>
      <c r="Q96" s="615">
        <f t="shared" si="171"/>
        <v>25.7</v>
      </c>
      <c r="R96" s="376">
        <f>SUM(R67+R95)</f>
        <v>10479</v>
      </c>
      <c r="S96" s="582">
        <f>SUM(S67+S95)</f>
        <v>17020</v>
      </c>
      <c r="T96" s="615">
        <f t="shared" si="172"/>
        <v>62.4</v>
      </c>
      <c r="U96" s="582">
        <f>SUM(U67+U95)</f>
        <v>28833</v>
      </c>
      <c r="V96" s="582">
        <f>SUM(V67+V95)</f>
        <v>40098</v>
      </c>
      <c r="W96" s="615">
        <f t="shared" si="173"/>
        <v>39.1</v>
      </c>
      <c r="X96" s="376">
        <f>SUM(X67+X95)</f>
        <v>8926</v>
      </c>
      <c r="Y96" s="280">
        <f>SUM(Y67+Y95)</f>
        <v>15202</v>
      </c>
      <c r="Z96" s="482">
        <f t="shared" si="174"/>
        <v>70.3</v>
      </c>
      <c r="AA96" s="632">
        <f>SUM(AA67+AA95)</f>
        <v>37759</v>
      </c>
      <c r="AB96" s="632">
        <f>SUM(AB67+AB95)</f>
        <v>55300</v>
      </c>
      <c r="AC96" s="482">
        <f t="shared" si="175"/>
        <v>46.5</v>
      </c>
      <c r="AD96" s="376">
        <f>SUM(AD67+AD95)</f>
        <v>7559</v>
      </c>
      <c r="AE96" s="582">
        <f>SUM(AE67+AE95)</f>
        <v>12738</v>
      </c>
      <c r="AF96" s="615">
        <f t="shared" si="176"/>
        <v>68.5</v>
      </c>
      <c r="AG96" s="728">
        <f>SUM(AG67+AG95)</f>
        <v>45318</v>
      </c>
      <c r="AH96" s="585">
        <f>SUM(AH67+AH95)</f>
        <v>68038</v>
      </c>
      <c r="AI96" s="615">
        <f t="shared" si="177"/>
        <v>50.1</v>
      </c>
    </row>
    <row r="97" spans="1:11">
      <c r="A97" s="88" t="s">
        <v>111</v>
      </c>
      <c r="K97" s="233"/>
    </row>
  </sheetData>
  <sortState ref="C72:BY94">
    <sortCondition descending="1" ref="H72:H94"/>
  </sortState>
  <mergeCells count="21">
    <mergeCell ref="A4:C5"/>
    <mergeCell ref="D4:D5"/>
    <mergeCell ref="L4:N4"/>
    <mergeCell ref="O4:Q4"/>
    <mergeCell ref="AA4:AC4"/>
    <mergeCell ref="E4:E5"/>
    <mergeCell ref="F4:F5"/>
    <mergeCell ref="I4:K4"/>
    <mergeCell ref="G4:G5"/>
    <mergeCell ref="X4:Z4"/>
    <mergeCell ref="R4:T4"/>
    <mergeCell ref="U4:W4"/>
    <mergeCell ref="H4:H5"/>
    <mergeCell ref="B96:C96"/>
    <mergeCell ref="B47:B67"/>
    <mergeCell ref="B6:B30"/>
    <mergeCell ref="B31:B45"/>
    <mergeCell ref="B46:C46"/>
    <mergeCell ref="B68:B95"/>
    <mergeCell ref="AD4:AF4"/>
    <mergeCell ref="AG4:AI4"/>
  </mergeCells>
  <phoneticPr fontId="2" type="noConversion"/>
  <printOptions horizontalCentered="1"/>
  <pageMargins left="0.19685039370078741" right="0.19685039370078741" top="0.74803149606299213" bottom="0.41" header="0.31496062992125984" footer="0.31496062992125984"/>
  <pageSetup paperSize="9" scale="90" orientation="portrait" r:id="rId1"/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4"/>
  <sheetViews>
    <sheetView workbookViewId="0">
      <pane xSplit="7" ySplit="4" topLeftCell="O5" activePane="bottomRight" state="frozen"/>
      <selection pane="topRight" activeCell="H1" sqref="H1"/>
      <selection pane="bottomLeft" activeCell="A5" sqref="A5"/>
      <selection pane="bottomRight"/>
    </sheetView>
  </sheetViews>
  <sheetFormatPr defaultRowHeight="16.5"/>
  <cols>
    <col min="1" max="1" width="6" style="51" customWidth="1"/>
    <col min="2" max="2" width="18.875" style="2" customWidth="1"/>
    <col min="3" max="4" width="11" style="2" hidden="1" customWidth="1"/>
    <col min="5" max="6" width="11" style="222" hidden="1" customWidth="1"/>
    <col min="7" max="7" width="11" style="595" customWidth="1"/>
    <col min="8" max="9" width="11" style="623" hidden="1" customWidth="1"/>
    <col min="10" max="10" width="9" hidden="1" customWidth="1"/>
    <col min="11" max="12" width="11" style="304" hidden="1" customWidth="1"/>
    <col min="13" max="13" width="9" style="277" hidden="1" customWidth="1"/>
    <col min="14" max="15" width="11" style="595" hidden="1" customWidth="1"/>
    <col min="16" max="16" width="9" style="277" hidden="1" customWidth="1"/>
    <col min="17" max="18" width="11" style="304" hidden="1" customWidth="1"/>
    <col min="19" max="19" width="9" style="277" hidden="1" customWidth="1"/>
    <col min="20" max="21" width="11" style="595" hidden="1" customWidth="1"/>
    <col min="22" max="22" width="9" style="277" hidden="1" customWidth="1"/>
    <col min="23" max="24" width="11" style="304" hidden="1" customWidth="1"/>
    <col min="25" max="25" width="9" style="277" hidden="1" customWidth="1"/>
    <col min="26" max="27" width="11" style="623" hidden="1" customWidth="1"/>
    <col min="28" max="28" width="9" style="277" hidden="1" customWidth="1"/>
    <col min="29" max="30" width="11" style="304" customWidth="1"/>
    <col min="31" max="31" width="9" style="277" customWidth="1"/>
    <col min="32" max="33" width="11" style="595" customWidth="1"/>
    <col min="34" max="34" width="9" style="277" customWidth="1"/>
  </cols>
  <sheetData>
    <row r="1" spans="1:34" ht="17.25">
      <c r="A1" s="86" t="s">
        <v>188</v>
      </c>
      <c r="G1" s="241" t="s">
        <v>473</v>
      </c>
      <c r="J1" s="240"/>
    </row>
    <row r="2" spans="1:34">
      <c r="A2" s="26"/>
      <c r="B2" s="26"/>
      <c r="C2" s="26"/>
      <c r="D2" s="26"/>
      <c r="E2" s="266"/>
      <c r="F2" s="266"/>
      <c r="G2" s="567"/>
      <c r="H2" s="624"/>
      <c r="I2" s="624"/>
      <c r="J2" s="243" t="s">
        <v>87</v>
      </c>
      <c r="K2" s="266"/>
      <c r="L2" s="266"/>
      <c r="M2" s="243"/>
      <c r="N2" s="567"/>
      <c r="O2" s="567"/>
      <c r="P2" s="243" t="s">
        <v>87</v>
      </c>
      <c r="Q2" s="266"/>
      <c r="R2" s="266"/>
      <c r="S2" s="243"/>
      <c r="T2" s="567"/>
      <c r="U2" s="567"/>
      <c r="V2" s="243" t="s">
        <v>87</v>
      </c>
      <c r="W2" s="266"/>
      <c r="X2" s="266"/>
      <c r="Y2" s="243"/>
      <c r="Z2" s="624"/>
      <c r="AA2" s="624"/>
      <c r="AB2" s="243" t="s">
        <v>87</v>
      </c>
      <c r="AC2" s="266"/>
      <c r="AD2" s="266"/>
      <c r="AE2" s="243"/>
      <c r="AF2" s="567"/>
      <c r="AG2" s="567"/>
      <c r="AH2" s="243" t="s">
        <v>87</v>
      </c>
    </row>
    <row r="3" spans="1:34" ht="18" customHeight="1">
      <c r="A3" s="839" t="s">
        <v>88</v>
      </c>
      <c r="B3" s="839"/>
      <c r="C3" s="839" t="s">
        <v>2</v>
      </c>
      <c r="D3" s="839" t="s">
        <v>3</v>
      </c>
      <c r="E3" s="839" t="s">
        <v>76</v>
      </c>
      <c r="F3" s="850" t="s">
        <v>294</v>
      </c>
      <c r="G3" s="850" t="s">
        <v>431</v>
      </c>
      <c r="H3" s="848" t="s">
        <v>33</v>
      </c>
      <c r="I3" s="839"/>
      <c r="J3" s="839"/>
      <c r="K3" s="837" t="s">
        <v>471</v>
      </c>
      <c r="L3" s="838"/>
      <c r="M3" s="839"/>
      <c r="N3" s="837" t="s">
        <v>472</v>
      </c>
      <c r="O3" s="838"/>
      <c r="P3" s="839"/>
      <c r="Q3" s="837" t="s">
        <v>477</v>
      </c>
      <c r="R3" s="838"/>
      <c r="S3" s="839"/>
      <c r="T3" s="837" t="s">
        <v>478</v>
      </c>
      <c r="U3" s="838"/>
      <c r="V3" s="839"/>
      <c r="W3" s="837" t="s">
        <v>484</v>
      </c>
      <c r="X3" s="838"/>
      <c r="Y3" s="839"/>
      <c r="Z3" s="837" t="s">
        <v>486</v>
      </c>
      <c r="AA3" s="838"/>
      <c r="AB3" s="839"/>
      <c r="AC3" s="837" t="s">
        <v>495</v>
      </c>
      <c r="AD3" s="838"/>
      <c r="AE3" s="839"/>
      <c r="AF3" s="837" t="s">
        <v>496</v>
      </c>
      <c r="AG3" s="838"/>
      <c r="AH3" s="839"/>
    </row>
    <row r="4" spans="1:34" ht="18" customHeight="1">
      <c r="A4" s="839"/>
      <c r="B4" s="839"/>
      <c r="C4" s="839"/>
      <c r="D4" s="839"/>
      <c r="E4" s="839"/>
      <c r="F4" s="851"/>
      <c r="G4" s="851"/>
      <c r="H4" s="698" t="s">
        <v>431</v>
      </c>
      <c r="I4" s="697" t="s">
        <v>503</v>
      </c>
      <c r="J4" s="531" t="s">
        <v>5</v>
      </c>
      <c r="K4" s="535" t="s">
        <v>431</v>
      </c>
      <c r="L4" s="533" t="s">
        <v>503</v>
      </c>
      <c r="M4" s="531" t="s">
        <v>5</v>
      </c>
      <c r="N4" s="535" t="s">
        <v>431</v>
      </c>
      <c r="O4" s="533" t="s">
        <v>503</v>
      </c>
      <c r="P4" s="531" t="s">
        <v>5</v>
      </c>
      <c r="Q4" s="535" t="s">
        <v>431</v>
      </c>
      <c r="R4" s="533" t="s">
        <v>503</v>
      </c>
      <c r="S4" s="531" t="s">
        <v>5</v>
      </c>
      <c r="T4" s="535" t="s">
        <v>431</v>
      </c>
      <c r="U4" s="533" t="s">
        <v>503</v>
      </c>
      <c r="V4" s="531" t="s">
        <v>5</v>
      </c>
      <c r="W4" s="535" t="s">
        <v>431</v>
      </c>
      <c r="X4" s="533" t="s">
        <v>503</v>
      </c>
      <c r="Y4" s="531" t="s">
        <v>5</v>
      </c>
      <c r="Z4" s="698" t="s">
        <v>431</v>
      </c>
      <c r="AA4" s="697" t="s">
        <v>503</v>
      </c>
      <c r="AB4" s="531" t="s">
        <v>5</v>
      </c>
      <c r="AC4" s="535" t="s">
        <v>431</v>
      </c>
      <c r="AD4" s="533" t="s">
        <v>503</v>
      </c>
      <c r="AE4" s="531" t="s">
        <v>5</v>
      </c>
      <c r="AF4" s="535" t="s">
        <v>431</v>
      </c>
      <c r="AG4" s="533" t="s">
        <v>503</v>
      </c>
      <c r="AH4" s="531" t="s">
        <v>5</v>
      </c>
    </row>
    <row r="5" spans="1:34">
      <c r="A5" s="7"/>
      <c r="B5" s="81" t="s">
        <v>43</v>
      </c>
      <c r="C5" s="94">
        <v>67332</v>
      </c>
      <c r="D5" s="94">
        <v>54957</v>
      </c>
      <c r="E5" s="100">
        <v>137266</v>
      </c>
      <c r="F5" s="361">
        <v>130183</v>
      </c>
      <c r="G5" s="680">
        <v>161714</v>
      </c>
      <c r="H5" s="640">
        <v>2423</v>
      </c>
      <c r="I5" s="640">
        <v>3976</v>
      </c>
      <c r="J5" s="247">
        <f>ROUND(((I5/H5-1)*100), 1)</f>
        <v>64.099999999999994</v>
      </c>
      <c r="K5" s="244">
        <f t="shared" ref="K5:K7" si="0">N5-H5</f>
        <v>1875</v>
      </c>
      <c r="L5" s="361">
        <f t="shared" ref="L5:L7" si="1">O5-I5</f>
        <v>4615</v>
      </c>
      <c r="M5" s="247">
        <f>ROUND(((L5/K5-1)*100), 1)</f>
        <v>146.1</v>
      </c>
      <c r="N5" s="546">
        <v>4298</v>
      </c>
      <c r="O5" s="546">
        <v>8591</v>
      </c>
      <c r="P5" s="247">
        <f>ROUND(((O5/N5-1)*100), 1)</f>
        <v>99.9</v>
      </c>
      <c r="Q5" s="244">
        <f t="shared" ref="Q5:Q7" si="2">T5-N5</f>
        <v>5997</v>
      </c>
      <c r="R5" s="361">
        <f t="shared" ref="R5:R7" si="3">U5-O5</f>
        <v>11299</v>
      </c>
      <c r="S5" s="247">
        <f>ROUND(((R5/Q5-1)*100), 1)</f>
        <v>88.4</v>
      </c>
      <c r="T5" s="536">
        <v>10295</v>
      </c>
      <c r="U5" s="546">
        <v>19890</v>
      </c>
      <c r="V5" s="247">
        <f>ROUND(((U5/T5-1)*100), 1)</f>
        <v>93.2</v>
      </c>
      <c r="W5" s="244">
        <f t="shared" ref="W5:W17" si="4">Z5-T5</f>
        <v>9655</v>
      </c>
      <c r="X5" s="361">
        <f t="shared" ref="X5:X17" si="5">AA5-U5</f>
        <v>7948</v>
      </c>
      <c r="Y5" s="247">
        <f>ROUND(((X5/W5-1)*100), 1)</f>
        <v>-17.7</v>
      </c>
      <c r="Z5" s="722">
        <v>19950</v>
      </c>
      <c r="AA5" s="640">
        <v>27838</v>
      </c>
      <c r="AB5" s="247">
        <f>ROUND(((AA5/Z5-1)*100), 1)</f>
        <v>39.5</v>
      </c>
      <c r="AC5" s="244">
        <f t="shared" ref="AC5:AC6" si="6">AF5-Z5</f>
        <v>27598</v>
      </c>
      <c r="AD5" s="361">
        <f t="shared" ref="AD5:AD6" si="7">AG5-AA5</f>
        <v>11852</v>
      </c>
      <c r="AE5" s="247">
        <f>ROUND(((AD5/AC5-1)*100), 1)</f>
        <v>-57.1</v>
      </c>
      <c r="AF5" s="536">
        <v>47548</v>
      </c>
      <c r="AG5" s="546">
        <v>39690</v>
      </c>
      <c r="AH5" s="247">
        <f>ROUND(((AG5/AF5-1)*100), 1)</f>
        <v>-16.5</v>
      </c>
    </row>
    <row r="6" spans="1:34">
      <c r="A6" s="3" t="s">
        <v>145</v>
      </c>
      <c r="B6" s="39" t="s">
        <v>45</v>
      </c>
      <c r="C6" s="94">
        <v>158833</v>
      </c>
      <c r="D6" s="94">
        <v>122064</v>
      </c>
      <c r="E6" s="94">
        <v>126708</v>
      </c>
      <c r="F6" s="362">
        <v>102730</v>
      </c>
      <c r="G6" s="102">
        <v>89717</v>
      </c>
      <c r="H6" s="642">
        <v>11997</v>
      </c>
      <c r="I6" s="642">
        <v>8806</v>
      </c>
      <c r="J6" s="247">
        <f>ROUND(((I6/H6-1)*100), 1)</f>
        <v>-26.6</v>
      </c>
      <c r="K6" s="245">
        <f t="shared" si="0"/>
        <v>11724</v>
      </c>
      <c r="L6" s="362">
        <f t="shared" si="1"/>
        <v>9305</v>
      </c>
      <c r="M6" s="247">
        <f>ROUND(((L6/K6-1)*100), 1)</f>
        <v>-20.6</v>
      </c>
      <c r="N6" s="547">
        <v>23721</v>
      </c>
      <c r="O6" s="547">
        <v>18111</v>
      </c>
      <c r="P6" s="247">
        <f>ROUND(((O6/N6-1)*100), 1)</f>
        <v>-23.6</v>
      </c>
      <c r="Q6" s="245">
        <f t="shared" si="2"/>
        <v>6122</v>
      </c>
      <c r="R6" s="362">
        <f t="shared" si="3"/>
        <v>7122</v>
      </c>
      <c r="S6" s="247">
        <f>ROUND(((R6/Q6-1)*100), 1)</f>
        <v>16.3</v>
      </c>
      <c r="T6" s="537">
        <v>29843</v>
      </c>
      <c r="U6" s="547">
        <v>25233</v>
      </c>
      <c r="V6" s="247">
        <f>ROUND(((U6/T6-1)*100), 1)</f>
        <v>-15.4</v>
      </c>
      <c r="W6" s="245">
        <f t="shared" si="4"/>
        <v>2663</v>
      </c>
      <c r="X6" s="362">
        <f t="shared" si="5"/>
        <v>11695</v>
      </c>
      <c r="Y6" s="247">
        <f>ROUND(((X6/W6-1)*100), 1)</f>
        <v>339.2</v>
      </c>
      <c r="Z6" s="641">
        <v>32506</v>
      </c>
      <c r="AA6" s="642">
        <v>36928</v>
      </c>
      <c r="AB6" s="247">
        <f>ROUND(((AA6/Z6-1)*100), 1)</f>
        <v>13.6</v>
      </c>
      <c r="AC6" s="245">
        <f t="shared" si="6"/>
        <v>195</v>
      </c>
      <c r="AD6" s="362">
        <f t="shared" si="7"/>
        <v>8869</v>
      </c>
      <c r="AE6" s="247">
        <f>ROUND(((AD6/AC6-1)*100), 1)</f>
        <v>4448.2</v>
      </c>
      <c r="AF6" s="537">
        <v>32701</v>
      </c>
      <c r="AG6" s="547">
        <v>45797</v>
      </c>
      <c r="AH6" s="247">
        <f>ROUND(((AG6/AF6-1)*100), 1)</f>
        <v>40</v>
      </c>
    </row>
    <row r="7" spans="1:34">
      <c r="A7" s="3"/>
      <c r="B7" s="39" t="s">
        <v>44</v>
      </c>
      <c r="C7" s="94">
        <v>69147</v>
      </c>
      <c r="D7" s="94">
        <v>72373</v>
      </c>
      <c r="E7" s="94">
        <v>67021</v>
      </c>
      <c r="F7" s="362">
        <v>71247</v>
      </c>
      <c r="G7" s="102">
        <v>83937</v>
      </c>
      <c r="H7" s="642">
        <v>6304</v>
      </c>
      <c r="I7" s="642">
        <v>7696</v>
      </c>
      <c r="J7" s="247">
        <f>ROUND(((I7/H7-1)*100), 1)</f>
        <v>22.1</v>
      </c>
      <c r="K7" s="245">
        <f t="shared" si="0"/>
        <v>6326</v>
      </c>
      <c r="L7" s="362">
        <f t="shared" si="1"/>
        <v>10658</v>
      </c>
      <c r="M7" s="247">
        <f>ROUND(((L7/K7-1)*100), 1)</f>
        <v>68.5</v>
      </c>
      <c r="N7" s="547">
        <v>12630</v>
      </c>
      <c r="O7" s="547">
        <v>18354</v>
      </c>
      <c r="P7" s="247">
        <f>ROUND(((O7/N7-1)*100), 1)</f>
        <v>45.3</v>
      </c>
      <c r="Q7" s="245">
        <f t="shared" si="2"/>
        <v>7127</v>
      </c>
      <c r="R7" s="362">
        <f t="shared" si="3"/>
        <v>11593</v>
      </c>
      <c r="S7" s="247">
        <f>ROUND(((R7/Q7-1)*100), 1)</f>
        <v>62.7</v>
      </c>
      <c r="T7" s="537">
        <v>19757</v>
      </c>
      <c r="U7" s="547">
        <v>29947</v>
      </c>
      <c r="V7" s="247">
        <f>ROUND(((U7/T7-1)*100), 1)</f>
        <v>51.6</v>
      </c>
      <c r="W7" s="245">
        <f t="shared" si="4"/>
        <v>8339</v>
      </c>
      <c r="X7" s="362">
        <f t="shared" si="5"/>
        <v>10702</v>
      </c>
      <c r="Y7" s="247">
        <f>ROUND(((X7/W7-1)*100), 1)</f>
        <v>28.3</v>
      </c>
      <c r="Z7" s="641">
        <v>28096</v>
      </c>
      <c r="AA7" s="642">
        <v>40649</v>
      </c>
      <c r="AB7" s="247">
        <f>ROUND(((AA7/Z7-1)*100), 1)</f>
        <v>44.7</v>
      </c>
      <c r="AC7" s="537">
        <f t="shared" ref="AC7:AC30" si="8">AF7-Z7</f>
        <v>4726</v>
      </c>
      <c r="AD7" s="547">
        <f t="shared" ref="AD7:AD30" si="9">AG7-AA7</f>
        <v>8130</v>
      </c>
      <c r="AE7" s="532">
        <f t="shared" ref="AE7:AE30" si="10">ROUND(((AD7/AC7-1)*100), 1)</f>
        <v>72</v>
      </c>
      <c r="AF7" s="537">
        <v>32822</v>
      </c>
      <c r="AG7" s="547">
        <v>48779</v>
      </c>
      <c r="AH7" s="247">
        <f>ROUND(((AG7/AF7-1)*100), 1)</f>
        <v>48.6</v>
      </c>
    </row>
    <row r="8" spans="1:34">
      <c r="A8" s="3"/>
      <c r="B8" s="39" t="s">
        <v>441</v>
      </c>
      <c r="C8" s="94">
        <v>0</v>
      </c>
      <c r="D8" s="94">
        <v>2010</v>
      </c>
      <c r="E8" s="94">
        <v>0</v>
      </c>
      <c r="F8" s="362">
        <v>8112</v>
      </c>
      <c r="G8" s="102">
        <v>57359</v>
      </c>
      <c r="H8" s="642">
        <v>5495</v>
      </c>
      <c r="I8" s="642">
        <v>0</v>
      </c>
      <c r="J8" s="532">
        <f t="shared" ref="J8:J29" si="11">ROUND(((I8/H8-1)*100), 1)</f>
        <v>-100</v>
      </c>
      <c r="K8" s="537">
        <f t="shared" ref="K8:K29" si="12">N8-H8</f>
        <v>4004</v>
      </c>
      <c r="L8" s="547">
        <f t="shared" ref="L8:L29" si="13">O8-I8</f>
        <v>0</v>
      </c>
      <c r="M8" s="532">
        <f t="shared" ref="M8:M28" si="14">ROUND(((L8/K8-1)*100), 1)</f>
        <v>-100</v>
      </c>
      <c r="N8" s="547">
        <v>9499</v>
      </c>
      <c r="O8" s="547">
        <v>0</v>
      </c>
      <c r="P8" s="532">
        <f t="shared" ref="P8:P29" si="15">ROUND(((O8/N8-1)*100), 1)</f>
        <v>-100</v>
      </c>
      <c r="Q8" s="537">
        <f t="shared" ref="Q8:Q29" si="16">T8-N8</f>
        <v>20538</v>
      </c>
      <c r="R8" s="547">
        <f t="shared" ref="R8:R29" si="17">U8-O8</f>
        <v>0</v>
      </c>
      <c r="S8" s="532">
        <f t="shared" ref="S8:S30" si="18">ROUND(((R8/Q8-1)*100), 1)</f>
        <v>-100</v>
      </c>
      <c r="T8" s="537">
        <v>30037</v>
      </c>
      <c r="U8" s="547">
        <v>0</v>
      </c>
      <c r="V8" s="532">
        <f t="shared" ref="V8:V29" si="19">ROUND(((U8/T8-1)*100), 1)</f>
        <v>-100</v>
      </c>
      <c r="W8" s="245">
        <f t="shared" si="4"/>
        <v>9159</v>
      </c>
      <c r="X8" s="362">
        <f t="shared" si="5"/>
        <v>0</v>
      </c>
      <c r="Y8" s="532">
        <f t="shared" ref="Y8:Y12" si="20">ROUND(((X8/W8-1)*100), 1)</f>
        <v>-100</v>
      </c>
      <c r="Z8" s="641">
        <v>39196</v>
      </c>
      <c r="AA8" s="642">
        <v>0</v>
      </c>
      <c r="AB8" s="532">
        <f t="shared" ref="AB8:AB21" si="21">ROUND(((AA8/Z8-1)*100), 1)</f>
        <v>-100</v>
      </c>
      <c r="AC8" s="537">
        <f t="shared" si="8"/>
        <v>0</v>
      </c>
      <c r="AD8" s="547">
        <f t="shared" si="9"/>
        <v>0</v>
      </c>
      <c r="AE8" s="530">
        <v>0</v>
      </c>
      <c r="AF8" s="537">
        <v>39196</v>
      </c>
      <c r="AG8" s="547">
        <v>0</v>
      </c>
      <c r="AH8" s="532">
        <f t="shared" ref="AH8:AH29" si="22">ROUND(((AG8/AF8-1)*100), 1)</f>
        <v>-100</v>
      </c>
    </row>
    <row r="9" spans="1:34">
      <c r="A9" s="3"/>
      <c r="B9" s="39" t="s">
        <v>50</v>
      </c>
      <c r="C9" s="94">
        <v>44143</v>
      </c>
      <c r="D9" s="94">
        <v>39123</v>
      </c>
      <c r="E9" s="94">
        <v>32785</v>
      </c>
      <c r="F9" s="362">
        <v>36626</v>
      </c>
      <c r="G9" s="102">
        <v>42105</v>
      </c>
      <c r="H9" s="642">
        <v>2408</v>
      </c>
      <c r="I9" s="642">
        <v>4258</v>
      </c>
      <c r="J9" s="532">
        <f t="shared" si="11"/>
        <v>76.8</v>
      </c>
      <c r="K9" s="537">
        <f t="shared" si="12"/>
        <v>3112</v>
      </c>
      <c r="L9" s="547">
        <f t="shared" si="13"/>
        <v>4377</v>
      </c>
      <c r="M9" s="532">
        <f t="shared" si="14"/>
        <v>40.6</v>
      </c>
      <c r="N9" s="547">
        <v>5520</v>
      </c>
      <c r="O9" s="547">
        <v>8635</v>
      </c>
      <c r="P9" s="532">
        <f t="shared" si="15"/>
        <v>56.4</v>
      </c>
      <c r="Q9" s="537">
        <f t="shared" si="16"/>
        <v>3277</v>
      </c>
      <c r="R9" s="547">
        <f t="shared" si="17"/>
        <v>6649</v>
      </c>
      <c r="S9" s="532">
        <f t="shared" si="18"/>
        <v>102.9</v>
      </c>
      <c r="T9" s="537">
        <v>8797</v>
      </c>
      <c r="U9" s="547">
        <v>15284</v>
      </c>
      <c r="V9" s="532">
        <f t="shared" si="19"/>
        <v>73.7</v>
      </c>
      <c r="W9" s="245">
        <f t="shared" si="4"/>
        <v>5830</v>
      </c>
      <c r="X9" s="362">
        <f t="shared" si="5"/>
        <v>5868</v>
      </c>
      <c r="Y9" s="532">
        <f t="shared" si="20"/>
        <v>0.7</v>
      </c>
      <c r="Z9" s="641">
        <v>14627</v>
      </c>
      <c r="AA9" s="642">
        <v>21152</v>
      </c>
      <c r="AB9" s="532">
        <f t="shared" si="21"/>
        <v>44.6</v>
      </c>
      <c r="AC9" s="537">
        <f t="shared" si="8"/>
        <v>3743</v>
      </c>
      <c r="AD9" s="547">
        <f t="shared" si="9"/>
        <v>5259</v>
      </c>
      <c r="AE9" s="532">
        <f t="shared" si="10"/>
        <v>40.5</v>
      </c>
      <c r="AF9" s="537">
        <v>18370</v>
      </c>
      <c r="AG9" s="547">
        <v>26411</v>
      </c>
      <c r="AH9" s="532">
        <f t="shared" si="22"/>
        <v>43.8</v>
      </c>
    </row>
    <row r="10" spans="1:34">
      <c r="A10" s="3"/>
      <c r="B10" s="39" t="s">
        <v>51</v>
      </c>
      <c r="C10" s="94">
        <v>43089</v>
      </c>
      <c r="D10" s="94">
        <v>43399</v>
      </c>
      <c r="E10" s="94">
        <v>43119</v>
      </c>
      <c r="F10" s="362">
        <v>36369</v>
      </c>
      <c r="G10" s="102">
        <v>35099</v>
      </c>
      <c r="H10" s="642">
        <v>3967</v>
      </c>
      <c r="I10" s="642">
        <v>2816</v>
      </c>
      <c r="J10" s="532">
        <f t="shared" si="11"/>
        <v>-29</v>
      </c>
      <c r="K10" s="537">
        <f t="shared" si="12"/>
        <v>2603</v>
      </c>
      <c r="L10" s="547">
        <f t="shared" si="13"/>
        <v>2835</v>
      </c>
      <c r="M10" s="532">
        <f t="shared" si="14"/>
        <v>8.9</v>
      </c>
      <c r="N10" s="547">
        <v>6570</v>
      </c>
      <c r="O10" s="547">
        <v>5651</v>
      </c>
      <c r="P10" s="532">
        <f t="shared" si="15"/>
        <v>-14</v>
      </c>
      <c r="Q10" s="537">
        <f t="shared" si="16"/>
        <v>3529</v>
      </c>
      <c r="R10" s="547">
        <f t="shared" si="17"/>
        <v>4207</v>
      </c>
      <c r="S10" s="532">
        <f t="shared" si="18"/>
        <v>19.2</v>
      </c>
      <c r="T10" s="537">
        <v>10099</v>
      </c>
      <c r="U10" s="547">
        <v>9858</v>
      </c>
      <c r="V10" s="532">
        <f t="shared" si="19"/>
        <v>-2.4</v>
      </c>
      <c r="W10" s="245">
        <f t="shared" si="4"/>
        <v>3860</v>
      </c>
      <c r="X10" s="362">
        <f t="shared" si="5"/>
        <v>2114</v>
      </c>
      <c r="Y10" s="532">
        <f t="shared" si="20"/>
        <v>-45.2</v>
      </c>
      <c r="Z10" s="641">
        <v>13959</v>
      </c>
      <c r="AA10" s="642">
        <v>11972</v>
      </c>
      <c r="AB10" s="532">
        <f t="shared" si="21"/>
        <v>-14.2</v>
      </c>
      <c r="AC10" s="537">
        <f t="shared" si="8"/>
        <v>1009</v>
      </c>
      <c r="AD10" s="547">
        <f t="shared" si="9"/>
        <v>2736</v>
      </c>
      <c r="AE10" s="532">
        <f t="shared" si="10"/>
        <v>171.2</v>
      </c>
      <c r="AF10" s="537">
        <v>14968</v>
      </c>
      <c r="AG10" s="547">
        <v>14708</v>
      </c>
      <c r="AH10" s="532">
        <f t="shared" si="22"/>
        <v>-1.7</v>
      </c>
    </row>
    <row r="11" spans="1:34">
      <c r="A11" s="3"/>
      <c r="B11" s="39" t="s">
        <v>48</v>
      </c>
      <c r="C11" s="94">
        <v>17877</v>
      </c>
      <c r="D11" s="94">
        <v>22165</v>
      </c>
      <c r="E11" s="94">
        <v>32977</v>
      </c>
      <c r="F11" s="362">
        <v>25312</v>
      </c>
      <c r="G11" s="102">
        <v>27339</v>
      </c>
      <c r="H11" s="642">
        <v>2328</v>
      </c>
      <c r="I11" s="642">
        <v>1797</v>
      </c>
      <c r="J11" s="532">
        <f t="shared" si="11"/>
        <v>-22.8</v>
      </c>
      <c r="K11" s="537">
        <f t="shared" si="12"/>
        <v>3069</v>
      </c>
      <c r="L11" s="547">
        <f t="shared" si="13"/>
        <v>3820</v>
      </c>
      <c r="M11" s="532">
        <f t="shared" si="14"/>
        <v>24.5</v>
      </c>
      <c r="N11" s="547">
        <v>5397</v>
      </c>
      <c r="O11" s="547">
        <v>5617</v>
      </c>
      <c r="P11" s="532">
        <f t="shared" si="15"/>
        <v>4.0999999999999996</v>
      </c>
      <c r="Q11" s="537">
        <f t="shared" si="16"/>
        <v>2325</v>
      </c>
      <c r="R11" s="547">
        <f t="shared" si="17"/>
        <v>3305</v>
      </c>
      <c r="S11" s="532">
        <f t="shared" si="18"/>
        <v>42.2</v>
      </c>
      <c r="T11" s="537">
        <v>7722</v>
      </c>
      <c r="U11" s="547">
        <v>8922</v>
      </c>
      <c r="V11" s="532">
        <f t="shared" si="19"/>
        <v>15.5</v>
      </c>
      <c r="W11" s="245">
        <f t="shared" si="4"/>
        <v>2248</v>
      </c>
      <c r="X11" s="362">
        <f t="shared" si="5"/>
        <v>2880</v>
      </c>
      <c r="Y11" s="532">
        <f t="shared" si="20"/>
        <v>28.1</v>
      </c>
      <c r="Z11" s="641">
        <v>9970</v>
      </c>
      <c r="AA11" s="642">
        <v>11802</v>
      </c>
      <c r="AB11" s="532">
        <f t="shared" si="21"/>
        <v>18.399999999999999</v>
      </c>
      <c r="AC11" s="537">
        <f t="shared" si="8"/>
        <v>1400</v>
      </c>
      <c r="AD11" s="547">
        <f t="shared" si="9"/>
        <v>3140</v>
      </c>
      <c r="AE11" s="532">
        <f t="shared" si="10"/>
        <v>124.3</v>
      </c>
      <c r="AF11" s="537">
        <v>11370</v>
      </c>
      <c r="AG11" s="547">
        <v>14942</v>
      </c>
      <c r="AH11" s="532">
        <f t="shared" si="22"/>
        <v>31.4</v>
      </c>
    </row>
    <row r="12" spans="1:34">
      <c r="A12" s="3"/>
      <c r="B12" s="39" t="s">
        <v>53</v>
      </c>
      <c r="C12" s="94">
        <v>39839</v>
      </c>
      <c r="D12" s="94">
        <v>41374</v>
      </c>
      <c r="E12" s="94">
        <v>36455</v>
      </c>
      <c r="F12" s="362">
        <v>27925</v>
      </c>
      <c r="G12" s="102">
        <v>17970</v>
      </c>
      <c r="H12" s="642">
        <v>2589</v>
      </c>
      <c r="I12" s="642">
        <v>3879</v>
      </c>
      <c r="J12" s="532">
        <f t="shared" si="11"/>
        <v>49.8</v>
      </c>
      <c r="K12" s="537">
        <f t="shared" si="12"/>
        <v>1305</v>
      </c>
      <c r="L12" s="547">
        <f t="shared" si="13"/>
        <v>2179</v>
      </c>
      <c r="M12" s="532">
        <f t="shared" si="14"/>
        <v>67</v>
      </c>
      <c r="N12" s="547">
        <v>3894</v>
      </c>
      <c r="O12" s="547">
        <v>6058</v>
      </c>
      <c r="P12" s="532">
        <f t="shared" si="15"/>
        <v>55.6</v>
      </c>
      <c r="Q12" s="537">
        <f t="shared" si="16"/>
        <v>1786</v>
      </c>
      <c r="R12" s="547">
        <f t="shared" si="17"/>
        <v>2036</v>
      </c>
      <c r="S12" s="532">
        <f t="shared" si="18"/>
        <v>14</v>
      </c>
      <c r="T12" s="537">
        <v>5680</v>
      </c>
      <c r="U12" s="547">
        <v>8094</v>
      </c>
      <c r="V12" s="532">
        <f t="shared" si="19"/>
        <v>42.5</v>
      </c>
      <c r="W12" s="245">
        <f t="shared" si="4"/>
        <v>613</v>
      </c>
      <c r="X12" s="362">
        <f t="shared" si="5"/>
        <v>1358</v>
      </c>
      <c r="Y12" s="532">
        <f t="shared" si="20"/>
        <v>121.5</v>
      </c>
      <c r="Z12" s="641">
        <v>6293</v>
      </c>
      <c r="AA12" s="642">
        <v>9452</v>
      </c>
      <c r="AB12" s="532">
        <f t="shared" si="21"/>
        <v>50.2</v>
      </c>
      <c r="AC12" s="537">
        <f t="shared" si="8"/>
        <v>862</v>
      </c>
      <c r="AD12" s="547">
        <f t="shared" si="9"/>
        <v>2624</v>
      </c>
      <c r="AE12" s="532">
        <f t="shared" si="10"/>
        <v>204.4</v>
      </c>
      <c r="AF12" s="537">
        <v>7155</v>
      </c>
      <c r="AG12" s="547">
        <v>12076</v>
      </c>
      <c r="AH12" s="532">
        <f t="shared" si="22"/>
        <v>68.8</v>
      </c>
    </row>
    <row r="13" spans="1:34">
      <c r="A13" s="3"/>
      <c r="B13" s="39" t="s">
        <v>49</v>
      </c>
      <c r="C13" s="94">
        <v>25121</v>
      </c>
      <c r="D13" s="94">
        <v>21600</v>
      </c>
      <c r="E13" s="94">
        <v>20087</v>
      </c>
      <c r="F13" s="362">
        <v>15972</v>
      </c>
      <c r="G13" s="102">
        <v>16525</v>
      </c>
      <c r="H13" s="642">
        <v>1996</v>
      </c>
      <c r="I13" s="642">
        <v>1925</v>
      </c>
      <c r="J13" s="532">
        <f t="shared" si="11"/>
        <v>-3.6</v>
      </c>
      <c r="K13" s="537">
        <f t="shared" si="12"/>
        <v>1726</v>
      </c>
      <c r="L13" s="547">
        <f t="shared" si="13"/>
        <v>1744</v>
      </c>
      <c r="M13" s="532">
        <f t="shared" si="14"/>
        <v>1</v>
      </c>
      <c r="N13" s="547">
        <v>3722</v>
      </c>
      <c r="O13" s="547">
        <v>3669</v>
      </c>
      <c r="P13" s="532">
        <f t="shared" si="15"/>
        <v>-1.4</v>
      </c>
      <c r="Q13" s="537">
        <f t="shared" si="16"/>
        <v>2631</v>
      </c>
      <c r="R13" s="547">
        <f t="shared" si="17"/>
        <v>2266</v>
      </c>
      <c r="S13" s="532">
        <f t="shared" si="18"/>
        <v>-13.9</v>
      </c>
      <c r="T13" s="537">
        <v>6353</v>
      </c>
      <c r="U13" s="547">
        <v>5935</v>
      </c>
      <c r="V13" s="532">
        <f t="shared" si="19"/>
        <v>-6.6</v>
      </c>
      <c r="W13" s="245">
        <f t="shared" si="4"/>
        <v>411</v>
      </c>
      <c r="X13" s="362">
        <f t="shared" si="5"/>
        <v>1780</v>
      </c>
      <c r="Y13" s="247">
        <f t="shared" ref="Y13:Y17" si="23">ROUND(((X13/W13-1)*100), 1)</f>
        <v>333.1</v>
      </c>
      <c r="Z13" s="641">
        <v>6764</v>
      </c>
      <c r="AA13" s="642">
        <v>7715</v>
      </c>
      <c r="AB13" s="532">
        <f t="shared" si="21"/>
        <v>14.1</v>
      </c>
      <c r="AC13" s="537">
        <f t="shared" si="8"/>
        <v>161</v>
      </c>
      <c r="AD13" s="547">
        <f t="shared" si="9"/>
        <v>2519</v>
      </c>
      <c r="AE13" s="532">
        <f t="shared" si="10"/>
        <v>1464.6</v>
      </c>
      <c r="AF13" s="537">
        <v>6925</v>
      </c>
      <c r="AG13" s="547">
        <v>10234</v>
      </c>
      <c r="AH13" s="532">
        <f t="shared" si="22"/>
        <v>47.8</v>
      </c>
    </row>
    <row r="14" spans="1:34">
      <c r="A14" s="3"/>
      <c r="B14" s="39" t="s">
        <v>160</v>
      </c>
      <c r="C14" s="94">
        <v>26630</v>
      </c>
      <c r="D14" s="94">
        <v>19969</v>
      </c>
      <c r="E14" s="94">
        <v>16014</v>
      </c>
      <c r="F14" s="362">
        <v>15180</v>
      </c>
      <c r="G14" s="102">
        <v>13988</v>
      </c>
      <c r="H14" s="642">
        <v>728</v>
      </c>
      <c r="I14" s="642">
        <v>595</v>
      </c>
      <c r="J14" s="532">
        <f t="shared" si="11"/>
        <v>-18.3</v>
      </c>
      <c r="K14" s="537">
        <f t="shared" si="12"/>
        <v>1897</v>
      </c>
      <c r="L14" s="547">
        <f t="shared" si="13"/>
        <v>800</v>
      </c>
      <c r="M14" s="532">
        <f t="shared" si="14"/>
        <v>-57.8</v>
      </c>
      <c r="N14" s="547">
        <v>2625</v>
      </c>
      <c r="O14" s="547">
        <v>1395</v>
      </c>
      <c r="P14" s="532">
        <f t="shared" si="15"/>
        <v>-46.9</v>
      </c>
      <c r="Q14" s="537">
        <f t="shared" si="16"/>
        <v>1516</v>
      </c>
      <c r="R14" s="547">
        <f t="shared" si="17"/>
        <v>1473</v>
      </c>
      <c r="S14" s="532">
        <f t="shared" si="18"/>
        <v>-2.8</v>
      </c>
      <c r="T14" s="537">
        <v>4141</v>
      </c>
      <c r="U14" s="547">
        <v>2868</v>
      </c>
      <c r="V14" s="532">
        <f t="shared" si="19"/>
        <v>-30.7</v>
      </c>
      <c r="W14" s="245">
        <f t="shared" si="4"/>
        <v>1653</v>
      </c>
      <c r="X14" s="362">
        <f t="shared" si="5"/>
        <v>1824</v>
      </c>
      <c r="Y14" s="247">
        <f t="shared" si="23"/>
        <v>10.3</v>
      </c>
      <c r="Z14" s="641">
        <v>5794</v>
      </c>
      <c r="AA14" s="642">
        <v>4692</v>
      </c>
      <c r="AB14" s="532">
        <f t="shared" si="21"/>
        <v>-19</v>
      </c>
      <c r="AC14" s="537">
        <f t="shared" si="8"/>
        <v>651</v>
      </c>
      <c r="AD14" s="547">
        <f t="shared" si="9"/>
        <v>100</v>
      </c>
      <c r="AE14" s="532">
        <f t="shared" si="10"/>
        <v>-84.6</v>
      </c>
      <c r="AF14" s="537">
        <v>6445</v>
      </c>
      <c r="AG14" s="547">
        <v>4792</v>
      </c>
      <c r="AH14" s="532">
        <f t="shared" si="22"/>
        <v>-25.6</v>
      </c>
    </row>
    <row r="15" spans="1:34">
      <c r="A15" s="3"/>
      <c r="B15" s="39" t="s">
        <v>57</v>
      </c>
      <c r="C15" s="94">
        <v>8582</v>
      </c>
      <c r="D15" s="94">
        <v>14070</v>
      </c>
      <c r="E15" s="94">
        <v>10882</v>
      </c>
      <c r="F15" s="362">
        <v>22247</v>
      </c>
      <c r="G15" s="102">
        <v>12743</v>
      </c>
      <c r="H15" s="642">
        <v>1108</v>
      </c>
      <c r="I15" s="642">
        <v>1237</v>
      </c>
      <c r="J15" s="532">
        <f t="shared" si="11"/>
        <v>11.6</v>
      </c>
      <c r="K15" s="537">
        <f t="shared" si="12"/>
        <v>1047</v>
      </c>
      <c r="L15" s="547">
        <f t="shared" si="13"/>
        <v>452</v>
      </c>
      <c r="M15" s="532">
        <f t="shared" si="14"/>
        <v>-56.8</v>
      </c>
      <c r="N15" s="547">
        <v>2155</v>
      </c>
      <c r="O15" s="547">
        <v>1689</v>
      </c>
      <c r="P15" s="532">
        <f t="shared" si="15"/>
        <v>-21.6</v>
      </c>
      <c r="Q15" s="537">
        <f t="shared" si="16"/>
        <v>875</v>
      </c>
      <c r="R15" s="547">
        <f t="shared" si="17"/>
        <v>1355</v>
      </c>
      <c r="S15" s="532">
        <f t="shared" si="18"/>
        <v>54.9</v>
      </c>
      <c r="T15" s="537">
        <v>3030</v>
      </c>
      <c r="U15" s="547">
        <v>3044</v>
      </c>
      <c r="V15" s="532">
        <f t="shared" si="19"/>
        <v>0.5</v>
      </c>
      <c r="W15" s="245">
        <f t="shared" si="4"/>
        <v>2566</v>
      </c>
      <c r="X15" s="362">
        <f t="shared" si="5"/>
        <v>274</v>
      </c>
      <c r="Y15" s="247">
        <f t="shared" si="23"/>
        <v>-89.3</v>
      </c>
      <c r="Z15" s="641">
        <v>5596</v>
      </c>
      <c r="AA15" s="642">
        <v>3318</v>
      </c>
      <c r="AB15" s="532">
        <f t="shared" si="21"/>
        <v>-40.700000000000003</v>
      </c>
      <c r="AC15" s="537">
        <f t="shared" si="8"/>
        <v>1082</v>
      </c>
      <c r="AD15" s="547">
        <f t="shared" si="9"/>
        <v>728</v>
      </c>
      <c r="AE15" s="532">
        <f t="shared" si="10"/>
        <v>-32.700000000000003</v>
      </c>
      <c r="AF15" s="537">
        <v>6678</v>
      </c>
      <c r="AG15" s="547">
        <v>4046</v>
      </c>
      <c r="AH15" s="532">
        <f t="shared" si="22"/>
        <v>-39.4</v>
      </c>
    </row>
    <row r="16" spans="1:34">
      <c r="A16" s="3"/>
      <c r="B16" s="39" t="s">
        <v>174</v>
      </c>
      <c r="C16" s="94">
        <v>11306</v>
      </c>
      <c r="D16" s="94">
        <v>14480</v>
      </c>
      <c r="E16" s="94">
        <v>13143</v>
      </c>
      <c r="F16" s="362">
        <v>11610</v>
      </c>
      <c r="G16" s="102">
        <v>10935</v>
      </c>
      <c r="H16" s="642">
        <v>602</v>
      </c>
      <c r="I16" s="642">
        <v>1735</v>
      </c>
      <c r="J16" s="532">
        <f t="shared" si="11"/>
        <v>188.2</v>
      </c>
      <c r="K16" s="537">
        <f t="shared" si="12"/>
        <v>21</v>
      </c>
      <c r="L16" s="547">
        <f t="shared" si="13"/>
        <v>1801</v>
      </c>
      <c r="M16" s="532">
        <f t="shared" si="14"/>
        <v>8476.2000000000007</v>
      </c>
      <c r="N16" s="547">
        <v>623</v>
      </c>
      <c r="O16" s="547">
        <v>3536</v>
      </c>
      <c r="P16" s="532">
        <f t="shared" si="15"/>
        <v>467.6</v>
      </c>
      <c r="Q16" s="537">
        <f t="shared" si="16"/>
        <v>388</v>
      </c>
      <c r="R16" s="547">
        <f t="shared" si="17"/>
        <v>2347</v>
      </c>
      <c r="S16" s="532">
        <f t="shared" si="18"/>
        <v>504.9</v>
      </c>
      <c r="T16" s="537">
        <v>1011</v>
      </c>
      <c r="U16" s="547">
        <v>5883</v>
      </c>
      <c r="V16" s="532">
        <f t="shared" si="19"/>
        <v>481.9</v>
      </c>
      <c r="W16" s="245">
        <f t="shared" si="4"/>
        <v>1776</v>
      </c>
      <c r="X16" s="362">
        <f t="shared" si="5"/>
        <v>1747</v>
      </c>
      <c r="Y16" s="247">
        <f t="shared" si="23"/>
        <v>-1.6</v>
      </c>
      <c r="Z16" s="641">
        <v>2787</v>
      </c>
      <c r="AA16" s="642">
        <v>7630</v>
      </c>
      <c r="AB16" s="532">
        <f t="shared" si="21"/>
        <v>173.8</v>
      </c>
      <c r="AC16" s="537">
        <f t="shared" si="8"/>
        <v>1602</v>
      </c>
      <c r="AD16" s="547">
        <f t="shared" si="9"/>
        <v>2248</v>
      </c>
      <c r="AE16" s="532">
        <f t="shared" si="10"/>
        <v>40.299999999999997</v>
      </c>
      <c r="AF16" s="537">
        <v>4389</v>
      </c>
      <c r="AG16" s="547">
        <v>9878</v>
      </c>
      <c r="AH16" s="532">
        <f t="shared" si="22"/>
        <v>125.1</v>
      </c>
    </row>
    <row r="17" spans="1:34">
      <c r="A17" s="3"/>
      <c r="B17" s="39" t="s">
        <v>153</v>
      </c>
      <c r="C17" s="94">
        <v>16727</v>
      </c>
      <c r="D17" s="94">
        <v>21222</v>
      </c>
      <c r="E17" s="94">
        <v>13679</v>
      </c>
      <c r="F17" s="362">
        <v>17081</v>
      </c>
      <c r="G17" s="102">
        <v>9822</v>
      </c>
      <c r="H17" s="642">
        <v>1624</v>
      </c>
      <c r="I17" s="642">
        <v>62</v>
      </c>
      <c r="J17" s="532">
        <f t="shared" si="11"/>
        <v>-96.2</v>
      </c>
      <c r="K17" s="537">
        <f t="shared" si="12"/>
        <v>964</v>
      </c>
      <c r="L17" s="547">
        <f t="shared" si="13"/>
        <v>1287</v>
      </c>
      <c r="M17" s="532">
        <f t="shared" si="14"/>
        <v>33.5</v>
      </c>
      <c r="N17" s="547">
        <v>2588</v>
      </c>
      <c r="O17" s="547">
        <v>1349</v>
      </c>
      <c r="P17" s="532">
        <f t="shared" si="15"/>
        <v>-47.9</v>
      </c>
      <c r="Q17" s="537">
        <f t="shared" si="16"/>
        <v>1094</v>
      </c>
      <c r="R17" s="547">
        <f t="shared" si="17"/>
        <v>860</v>
      </c>
      <c r="S17" s="532">
        <f t="shared" si="18"/>
        <v>-21.4</v>
      </c>
      <c r="T17" s="537">
        <v>3682</v>
      </c>
      <c r="U17" s="547">
        <v>2209</v>
      </c>
      <c r="V17" s="532">
        <f t="shared" si="19"/>
        <v>-40</v>
      </c>
      <c r="W17" s="245">
        <f t="shared" si="4"/>
        <v>1469</v>
      </c>
      <c r="X17" s="362">
        <f t="shared" si="5"/>
        <v>326</v>
      </c>
      <c r="Y17" s="247">
        <f t="shared" si="23"/>
        <v>-77.8</v>
      </c>
      <c r="Z17" s="641">
        <v>5151</v>
      </c>
      <c r="AA17" s="642">
        <v>2535</v>
      </c>
      <c r="AB17" s="532">
        <f t="shared" si="21"/>
        <v>-50.8</v>
      </c>
      <c r="AC17" s="537">
        <f t="shared" si="8"/>
        <v>946</v>
      </c>
      <c r="AD17" s="547">
        <f t="shared" si="9"/>
        <v>827</v>
      </c>
      <c r="AE17" s="532">
        <f t="shared" si="10"/>
        <v>-12.6</v>
      </c>
      <c r="AF17" s="537">
        <v>6097</v>
      </c>
      <c r="AG17" s="547">
        <v>3362</v>
      </c>
      <c r="AH17" s="532">
        <f t="shared" si="22"/>
        <v>-44.9</v>
      </c>
    </row>
    <row r="18" spans="1:34" s="277" customFormat="1">
      <c r="A18" s="396"/>
      <c r="B18" s="39" t="s">
        <v>63</v>
      </c>
      <c r="C18" s="94">
        <v>7897</v>
      </c>
      <c r="D18" s="94">
        <v>12687</v>
      </c>
      <c r="E18" s="94">
        <v>13217</v>
      </c>
      <c r="F18" s="362">
        <v>9432</v>
      </c>
      <c r="G18" s="102">
        <v>5065</v>
      </c>
      <c r="H18" s="642">
        <v>100</v>
      </c>
      <c r="I18" s="642">
        <v>1388</v>
      </c>
      <c r="J18" s="532">
        <f t="shared" si="11"/>
        <v>1288</v>
      </c>
      <c r="K18" s="537">
        <f t="shared" si="12"/>
        <v>462</v>
      </c>
      <c r="L18" s="547">
        <f t="shared" si="13"/>
        <v>1873</v>
      </c>
      <c r="M18" s="532">
        <f t="shared" si="14"/>
        <v>305.39999999999998</v>
      </c>
      <c r="N18" s="547">
        <v>562</v>
      </c>
      <c r="O18" s="547">
        <v>3261</v>
      </c>
      <c r="P18" s="532">
        <f t="shared" si="15"/>
        <v>480.2</v>
      </c>
      <c r="Q18" s="537">
        <f t="shared" si="16"/>
        <v>600</v>
      </c>
      <c r="R18" s="547">
        <f t="shared" si="17"/>
        <v>1352</v>
      </c>
      <c r="S18" s="532">
        <f t="shared" si="18"/>
        <v>125.3</v>
      </c>
      <c r="T18" s="537">
        <v>1162</v>
      </c>
      <c r="U18" s="547">
        <v>4613</v>
      </c>
      <c r="V18" s="532">
        <f t="shared" si="19"/>
        <v>297</v>
      </c>
      <c r="W18" s="537">
        <f t="shared" ref="W18:W29" si="24">Z18-T18</f>
        <v>79</v>
      </c>
      <c r="X18" s="547">
        <f t="shared" ref="X18:X29" si="25">AA18-U18</f>
        <v>540</v>
      </c>
      <c r="Y18" s="532">
        <f t="shared" ref="Y18:Y30" si="26">ROUND(((X18/W18-1)*100), 1)</f>
        <v>583.5</v>
      </c>
      <c r="Z18" s="641">
        <v>1241</v>
      </c>
      <c r="AA18" s="642">
        <v>5153</v>
      </c>
      <c r="AB18" s="532">
        <f t="shared" si="21"/>
        <v>315.2</v>
      </c>
      <c r="AC18" s="537">
        <f t="shared" si="8"/>
        <v>40</v>
      </c>
      <c r="AD18" s="547">
        <f t="shared" si="9"/>
        <v>121</v>
      </c>
      <c r="AE18" s="532">
        <f t="shared" si="10"/>
        <v>202.5</v>
      </c>
      <c r="AF18" s="537">
        <v>1281</v>
      </c>
      <c r="AG18" s="547">
        <v>5274</v>
      </c>
      <c r="AH18" s="532">
        <f t="shared" si="22"/>
        <v>311.7</v>
      </c>
    </row>
    <row r="19" spans="1:34" s="605" customFormat="1">
      <c r="A19" s="675"/>
      <c r="B19" s="611" t="s">
        <v>522</v>
      </c>
      <c r="C19" s="94">
        <v>0</v>
      </c>
      <c r="D19" s="94">
        <v>0</v>
      </c>
      <c r="E19" s="94">
        <v>0</v>
      </c>
      <c r="F19" s="94">
        <v>0</v>
      </c>
      <c r="G19" s="102">
        <v>3256</v>
      </c>
      <c r="H19" s="642">
        <v>678</v>
      </c>
      <c r="I19" s="642">
        <v>0</v>
      </c>
      <c r="J19" s="532">
        <f t="shared" si="11"/>
        <v>-100</v>
      </c>
      <c r="K19" s="537">
        <f t="shared" si="12"/>
        <v>1191</v>
      </c>
      <c r="L19" s="547">
        <f t="shared" si="13"/>
        <v>0</v>
      </c>
      <c r="M19" s="532">
        <f t="shared" si="14"/>
        <v>-100</v>
      </c>
      <c r="N19" s="547">
        <v>1869</v>
      </c>
      <c r="O19" s="547">
        <v>0</v>
      </c>
      <c r="P19" s="532">
        <f t="shared" si="15"/>
        <v>-100</v>
      </c>
      <c r="Q19" s="537">
        <f t="shared" si="16"/>
        <v>1387</v>
      </c>
      <c r="R19" s="547">
        <f t="shared" si="17"/>
        <v>0</v>
      </c>
      <c r="S19" s="532">
        <f t="shared" si="18"/>
        <v>-100</v>
      </c>
      <c r="T19" s="537">
        <v>3256</v>
      </c>
      <c r="U19" s="547">
        <v>0</v>
      </c>
      <c r="V19" s="532">
        <f t="shared" si="19"/>
        <v>-100</v>
      </c>
      <c r="W19" s="537">
        <f t="shared" si="24"/>
        <v>0</v>
      </c>
      <c r="X19" s="547">
        <f t="shared" si="25"/>
        <v>0</v>
      </c>
      <c r="Y19" s="530">
        <v>0</v>
      </c>
      <c r="Z19" s="641">
        <v>3256</v>
      </c>
      <c r="AA19" s="642">
        <v>0</v>
      </c>
      <c r="AB19" s="532">
        <f t="shared" si="21"/>
        <v>-100</v>
      </c>
      <c r="AC19" s="537">
        <f t="shared" si="8"/>
        <v>0</v>
      </c>
      <c r="AD19" s="547">
        <f t="shared" si="9"/>
        <v>0</v>
      </c>
      <c r="AE19" s="530">
        <v>0</v>
      </c>
      <c r="AF19" s="537">
        <v>3256</v>
      </c>
      <c r="AG19" s="547">
        <v>0</v>
      </c>
      <c r="AH19" s="532">
        <f t="shared" si="22"/>
        <v>-100</v>
      </c>
    </row>
    <row r="20" spans="1:34">
      <c r="A20" s="3"/>
      <c r="B20" s="39" t="s">
        <v>189</v>
      </c>
      <c r="C20" s="94">
        <v>1990</v>
      </c>
      <c r="D20" s="94">
        <v>5676</v>
      </c>
      <c r="E20" s="94">
        <v>3639</v>
      </c>
      <c r="F20" s="362">
        <v>2672</v>
      </c>
      <c r="G20" s="102">
        <v>2732</v>
      </c>
      <c r="H20" s="642">
        <v>101</v>
      </c>
      <c r="I20" s="642">
        <v>0</v>
      </c>
      <c r="J20" s="532">
        <f t="shared" si="11"/>
        <v>-100</v>
      </c>
      <c r="K20" s="537">
        <f t="shared" si="12"/>
        <v>50</v>
      </c>
      <c r="L20" s="547">
        <f t="shared" si="13"/>
        <v>100</v>
      </c>
      <c r="M20" s="532">
        <f t="shared" si="14"/>
        <v>100</v>
      </c>
      <c r="N20" s="547">
        <v>151</v>
      </c>
      <c r="O20" s="547">
        <v>100</v>
      </c>
      <c r="P20" s="532">
        <f t="shared" si="15"/>
        <v>-33.799999999999997</v>
      </c>
      <c r="Q20" s="537">
        <f t="shared" si="16"/>
        <v>326</v>
      </c>
      <c r="R20" s="547">
        <f t="shared" si="17"/>
        <v>100</v>
      </c>
      <c r="S20" s="532">
        <f t="shared" si="18"/>
        <v>-69.3</v>
      </c>
      <c r="T20" s="537">
        <v>477</v>
      </c>
      <c r="U20" s="547">
        <v>200</v>
      </c>
      <c r="V20" s="532">
        <f t="shared" si="19"/>
        <v>-58.1</v>
      </c>
      <c r="W20" s="537">
        <f t="shared" si="24"/>
        <v>529</v>
      </c>
      <c r="X20" s="547">
        <f t="shared" si="25"/>
        <v>99</v>
      </c>
      <c r="Y20" s="532">
        <f t="shared" si="26"/>
        <v>-81.3</v>
      </c>
      <c r="Z20" s="641">
        <v>1006</v>
      </c>
      <c r="AA20" s="642">
        <v>299</v>
      </c>
      <c r="AB20" s="532">
        <f t="shared" si="21"/>
        <v>-70.3</v>
      </c>
      <c r="AC20" s="537">
        <f t="shared" si="8"/>
        <v>125</v>
      </c>
      <c r="AD20" s="547">
        <f t="shared" si="9"/>
        <v>199</v>
      </c>
      <c r="AE20" s="532">
        <f t="shared" si="10"/>
        <v>59.2</v>
      </c>
      <c r="AF20" s="537">
        <v>1131</v>
      </c>
      <c r="AG20" s="547">
        <v>498</v>
      </c>
      <c r="AH20" s="532">
        <f t="shared" si="22"/>
        <v>-56</v>
      </c>
    </row>
    <row r="21" spans="1:34">
      <c r="A21" s="3"/>
      <c r="B21" s="39" t="s">
        <v>161</v>
      </c>
      <c r="C21" s="94">
        <v>2416</v>
      </c>
      <c r="D21" s="94">
        <v>247</v>
      </c>
      <c r="E21" s="94">
        <v>1835</v>
      </c>
      <c r="F21" s="362">
        <v>2581</v>
      </c>
      <c r="G21" s="102">
        <v>2722</v>
      </c>
      <c r="H21" s="642">
        <v>379</v>
      </c>
      <c r="I21" s="642">
        <v>0</v>
      </c>
      <c r="J21" s="532">
        <f t="shared" si="11"/>
        <v>-100</v>
      </c>
      <c r="K21" s="537">
        <f t="shared" si="12"/>
        <v>884</v>
      </c>
      <c r="L21" s="547">
        <f t="shared" si="13"/>
        <v>302</v>
      </c>
      <c r="M21" s="532">
        <f t="shared" si="14"/>
        <v>-65.8</v>
      </c>
      <c r="N21" s="547">
        <v>1263</v>
      </c>
      <c r="O21" s="547">
        <v>302</v>
      </c>
      <c r="P21" s="532">
        <f t="shared" si="15"/>
        <v>-76.099999999999994</v>
      </c>
      <c r="Q21" s="537">
        <f t="shared" si="16"/>
        <v>67</v>
      </c>
      <c r="R21" s="547">
        <f t="shared" si="17"/>
        <v>176</v>
      </c>
      <c r="S21" s="532">
        <f t="shared" si="18"/>
        <v>162.69999999999999</v>
      </c>
      <c r="T21" s="537">
        <v>1330</v>
      </c>
      <c r="U21" s="547">
        <v>478</v>
      </c>
      <c r="V21" s="532">
        <f t="shared" si="19"/>
        <v>-64.099999999999994</v>
      </c>
      <c r="W21" s="537">
        <f t="shared" si="24"/>
        <v>125</v>
      </c>
      <c r="X21" s="547">
        <f t="shared" si="25"/>
        <v>0</v>
      </c>
      <c r="Y21" s="532">
        <f t="shared" si="26"/>
        <v>-100</v>
      </c>
      <c r="Z21" s="641">
        <v>1455</v>
      </c>
      <c r="AA21" s="642">
        <v>478</v>
      </c>
      <c r="AB21" s="532">
        <f t="shared" si="21"/>
        <v>-67.099999999999994</v>
      </c>
      <c r="AC21" s="537">
        <f t="shared" si="8"/>
        <v>0</v>
      </c>
      <c r="AD21" s="547">
        <f t="shared" si="9"/>
        <v>0</v>
      </c>
      <c r="AE21" s="530">
        <v>0</v>
      </c>
      <c r="AF21" s="537">
        <v>1455</v>
      </c>
      <c r="AG21" s="547">
        <v>478</v>
      </c>
      <c r="AH21" s="532">
        <f t="shared" si="22"/>
        <v>-67.099999999999994</v>
      </c>
    </row>
    <row r="22" spans="1:34">
      <c r="A22" s="3"/>
      <c r="B22" s="39" t="s">
        <v>52</v>
      </c>
      <c r="C22" s="94">
        <v>7295</v>
      </c>
      <c r="D22" s="94">
        <v>3791</v>
      </c>
      <c r="E22" s="94">
        <v>4149</v>
      </c>
      <c r="F22" s="362">
        <v>3679</v>
      </c>
      <c r="G22" s="102">
        <v>2650</v>
      </c>
      <c r="H22" s="642">
        <v>482</v>
      </c>
      <c r="I22" s="642">
        <v>580</v>
      </c>
      <c r="J22" s="532">
        <f t="shared" si="11"/>
        <v>20.3</v>
      </c>
      <c r="K22" s="537">
        <f t="shared" si="12"/>
        <v>77</v>
      </c>
      <c r="L22" s="547">
        <f t="shared" si="13"/>
        <v>99</v>
      </c>
      <c r="M22" s="532">
        <f t="shared" si="14"/>
        <v>28.6</v>
      </c>
      <c r="N22" s="547">
        <v>559</v>
      </c>
      <c r="O22" s="547">
        <v>679</v>
      </c>
      <c r="P22" s="532">
        <f t="shared" si="15"/>
        <v>21.5</v>
      </c>
      <c r="Q22" s="537">
        <f t="shared" si="16"/>
        <v>263</v>
      </c>
      <c r="R22" s="547">
        <f t="shared" si="17"/>
        <v>807</v>
      </c>
      <c r="S22" s="532">
        <f t="shared" si="18"/>
        <v>206.8</v>
      </c>
      <c r="T22" s="537">
        <v>822</v>
      </c>
      <c r="U22" s="547">
        <v>1486</v>
      </c>
      <c r="V22" s="532">
        <f t="shared" si="19"/>
        <v>80.8</v>
      </c>
      <c r="W22" s="537">
        <f t="shared" si="24"/>
        <v>185</v>
      </c>
      <c r="X22" s="547">
        <f t="shared" si="25"/>
        <v>371</v>
      </c>
      <c r="Y22" s="532">
        <f t="shared" si="26"/>
        <v>100.5</v>
      </c>
      <c r="Z22" s="641">
        <v>1007</v>
      </c>
      <c r="AA22" s="642">
        <v>1857</v>
      </c>
      <c r="AB22" s="247">
        <f>ROUND(((AA22/Z22-1)*100), 1)</f>
        <v>84.4</v>
      </c>
      <c r="AC22" s="537">
        <f t="shared" si="8"/>
        <v>40</v>
      </c>
      <c r="AD22" s="547">
        <f t="shared" si="9"/>
        <v>299</v>
      </c>
      <c r="AE22" s="532">
        <f t="shared" si="10"/>
        <v>647.5</v>
      </c>
      <c r="AF22" s="537">
        <v>1047</v>
      </c>
      <c r="AG22" s="547">
        <v>2156</v>
      </c>
      <c r="AH22" s="532">
        <f t="shared" si="22"/>
        <v>105.9</v>
      </c>
    </row>
    <row r="23" spans="1:34">
      <c r="A23" s="3"/>
      <c r="B23" s="39" t="s">
        <v>191</v>
      </c>
      <c r="C23" s="94">
        <v>1868</v>
      </c>
      <c r="D23" s="94">
        <v>1448</v>
      </c>
      <c r="E23" s="94">
        <v>1830</v>
      </c>
      <c r="F23" s="362">
        <v>1654</v>
      </c>
      <c r="G23" s="102">
        <v>1556</v>
      </c>
      <c r="H23" s="642">
        <v>76</v>
      </c>
      <c r="I23" s="642">
        <v>74</v>
      </c>
      <c r="J23" s="532">
        <f t="shared" si="11"/>
        <v>-2.6</v>
      </c>
      <c r="K23" s="537">
        <f t="shared" si="12"/>
        <v>149</v>
      </c>
      <c r="L23" s="547">
        <f t="shared" si="13"/>
        <v>176</v>
      </c>
      <c r="M23" s="532">
        <f t="shared" si="14"/>
        <v>18.100000000000001</v>
      </c>
      <c r="N23" s="547">
        <v>225</v>
      </c>
      <c r="O23" s="547">
        <v>250</v>
      </c>
      <c r="P23" s="532">
        <f t="shared" si="15"/>
        <v>11.1</v>
      </c>
      <c r="Q23" s="537">
        <f t="shared" si="16"/>
        <v>75</v>
      </c>
      <c r="R23" s="547">
        <f t="shared" si="17"/>
        <v>0</v>
      </c>
      <c r="S23" s="532">
        <f t="shared" si="18"/>
        <v>-100</v>
      </c>
      <c r="T23" s="537">
        <v>300</v>
      </c>
      <c r="U23" s="547">
        <v>250</v>
      </c>
      <c r="V23" s="532">
        <f t="shared" si="19"/>
        <v>-16.7</v>
      </c>
      <c r="W23" s="537">
        <f t="shared" si="24"/>
        <v>126</v>
      </c>
      <c r="X23" s="547">
        <f t="shared" si="25"/>
        <v>225</v>
      </c>
      <c r="Y23" s="532">
        <f t="shared" si="26"/>
        <v>78.599999999999994</v>
      </c>
      <c r="Z23" s="641">
        <v>426</v>
      </c>
      <c r="AA23" s="642">
        <v>475</v>
      </c>
      <c r="AB23" s="247">
        <f>ROUND(((AA23/Z23-1)*100), 1)</f>
        <v>11.5</v>
      </c>
      <c r="AC23" s="537">
        <f t="shared" si="8"/>
        <v>125</v>
      </c>
      <c r="AD23" s="547">
        <f t="shared" si="9"/>
        <v>75</v>
      </c>
      <c r="AE23" s="532">
        <f t="shared" si="10"/>
        <v>-40</v>
      </c>
      <c r="AF23" s="537">
        <v>551</v>
      </c>
      <c r="AG23" s="547">
        <v>550</v>
      </c>
      <c r="AH23" s="532">
        <f t="shared" si="22"/>
        <v>-0.2</v>
      </c>
    </row>
    <row r="24" spans="1:34">
      <c r="A24" s="3"/>
      <c r="B24" s="39" t="s">
        <v>170</v>
      </c>
      <c r="C24" s="94">
        <v>1801</v>
      </c>
      <c r="D24" s="94">
        <v>2245</v>
      </c>
      <c r="E24" s="94">
        <v>2149</v>
      </c>
      <c r="F24" s="362">
        <v>1836</v>
      </c>
      <c r="G24" s="102">
        <v>1550</v>
      </c>
      <c r="H24" s="642">
        <v>101</v>
      </c>
      <c r="I24" s="642">
        <v>101</v>
      </c>
      <c r="J24" s="532">
        <f t="shared" si="11"/>
        <v>0</v>
      </c>
      <c r="K24" s="537">
        <f t="shared" si="12"/>
        <v>181</v>
      </c>
      <c r="L24" s="547">
        <f t="shared" si="13"/>
        <v>221</v>
      </c>
      <c r="M24" s="532">
        <f t="shared" si="14"/>
        <v>22.1</v>
      </c>
      <c r="N24" s="547">
        <v>282</v>
      </c>
      <c r="O24" s="547">
        <v>322</v>
      </c>
      <c r="P24" s="532">
        <f t="shared" si="15"/>
        <v>14.2</v>
      </c>
      <c r="Q24" s="537">
        <f t="shared" si="16"/>
        <v>203</v>
      </c>
      <c r="R24" s="547">
        <f t="shared" si="17"/>
        <v>385</v>
      </c>
      <c r="S24" s="532">
        <f t="shared" si="18"/>
        <v>89.7</v>
      </c>
      <c r="T24" s="537">
        <v>485</v>
      </c>
      <c r="U24" s="547">
        <v>707</v>
      </c>
      <c r="V24" s="532">
        <f t="shared" si="19"/>
        <v>45.8</v>
      </c>
      <c r="W24" s="537">
        <f t="shared" si="24"/>
        <v>140</v>
      </c>
      <c r="X24" s="547">
        <f t="shared" si="25"/>
        <v>244</v>
      </c>
      <c r="Y24" s="532">
        <f t="shared" si="26"/>
        <v>74.3</v>
      </c>
      <c r="Z24" s="641">
        <v>625</v>
      </c>
      <c r="AA24" s="642">
        <v>951</v>
      </c>
      <c r="AB24" s="532">
        <f t="shared" ref="AB24:AB29" si="27">ROUND(((AA24/Z24-1)*100), 1)</f>
        <v>52.2</v>
      </c>
      <c r="AC24" s="537">
        <f t="shared" si="8"/>
        <v>80</v>
      </c>
      <c r="AD24" s="547">
        <f t="shared" si="9"/>
        <v>364</v>
      </c>
      <c r="AE24" s="532">
        <f t="shared" si="10"/>
        <v>355</v>
      </c>
      <c r="AF24" s="537">
        <v>705</v>
      </c>
      <c r="AG24" s="547">
        <v>1315</v>
      </c>
      <c r="AH24" s="532">
        <f t="shared" si="22"/>
        <v>86.5</v>
      </c>
    </row>
    <row r="25" spans="1:34" s="605" customFormat="1">
      <c r="A25" s="675"/>
      <c r="B25" s="611" t="s">
        <v>523</v>
      </c>
      <c r="C25" s="94">
        <v>0</v>
      </c>
      <c r="D25" s="94">
        <v>0</v>
      </c>
      <c r="E25" s="94">
        <v>50</v>
      </c>
      <c r="F25" s="547">
        <v>149</v>
      </c>
      <c r="G25" s="102">
        <v>1376</v>
      </c>
      <c r="H25" s="642">
        <v>25</v>
      </c>
      <c r="I25" s="642">
        <v>74</v>
      </c>
      <c r="J25" s="532">
        <f t="shared" si="11"/>
        <v>196</v>
      </c>
      <c r="K25" s="537">
        <f t="shared" si="12"/>
        <v>150</v>
      </c>
      <c r="L25" s="547">
        <f t="shared" si="13"/>
        <v>51</v>
      </c>
      <c r="M25" s="532">
        <f t="shared" si="14"/>
        <v>-66</v>
      </c>
      <c r="N25" s="547">
        <v>175</v>
      </c>
      <c r="O25" s="547">
        <v>125</v>
      </c>
      <c r="P25" s="532">
        <f t="shared" si="15"/>
        <v>-28.6</v>
      </c>
      <c r="Q25" s="537">
        <f t="shared" si="16"/>
        <v>226</v>
      </c>
      <c r="R25" s="547">
        <f t="shared" si="17"/>
        <v>0</v>
      </c>
      <c r="S25" s="532">
        <f t="shared" si="18"/>
        <v>-100</v>
      </c>
      <c r="T25" s="537">
        <v>401</v>
      </c>
      <c r="U25" s="547">
        <v>125</v>
      </c>
      <c r="V25" s="532">
        <f t="shared" si="19"/>
        <v>-68.8</v>
      </c>
      <c r="W25" s="537">
        <f t="shared" si="24"/>
        <v>0</v>
      </c>
      <c r="X25" s="547">
        <f t="shared" si="25"/>
        <v>0</v>
      </c>
      <c r="Y25" s="530">
        <v>0</v>
      </c>
      <c r="Z25" s="641">
        <v>401</v>
      </c>
      <c r="AA25" s="642">
        <v>125</v>
      </c>
      <c r="AB25" s="532">
        <f t="shared" si="27"/>
        <v>-68.8</v>
      </c>
      <c r="AC25" s="537">
        <f t="shared" si="8"/>
        <v>25</v>
      </c>
      <c r="AD25" s="547">
        <f t="shared" si="9"/>
        <v>101</v>
      </c>
      <c r="AE25" s="532">
        <f t="shared" si="10"/>
        <v>304</v>
      </c>
      <c r="AF25" s="537">
        <v>426</v>
      </c>
      <c r="AG25" s="547">
        <v>226</v>
      </c>
      <c r="AH25" s="532">
        <f t="shared" si="22"/>
        <v>-46.9</v>
      </c>
    </row>
    <row r="26" spans="1:34" s="605" customFormat="1">
      <c r="A26" s="675"/>
      <c r="B26" s="101" t="s">
        <v>129</v>
      </c>
      <c r="C26" s="94">
        <v>11413</v>
      </c>
      <c r="D26" s="94">
        <v>2295</v>
      </c>
      <c r="E26" s="94">
        <v>152</v>
      </c>
      <c r="F26" s="547">
        <v>203</v>
      </c>
      <c r="G26" s="102">
        <v>1308</v>
      </c>
      <c r="H26" s="642">
        <v>0</v>
      </c>
      <c r="I26" s="642">
        <v>0</v>
      </c>
      <c r="J26" s="530">
        <v>0</v>
      </c>
      <c r="K26" s="537">
        <f t="shared" si="12"/>
        <v>0</v>
      </c>
      <c r="L26" s="547">
        <f t="shared" si="13"/>
        <v>0</v>
      </c>
      <c r="M26" s="530">
        <v>0</v>
      </c>
      <c r="N26" s="547">
        <v>0</v>
      </c>
      <c r="O26" s="547">
        <v>0</v>
      </c>
      <c r="P26" s="530">
        <v>0</v>
      </c>
      <c r="Q26" s="537">
        <f t="shared" si="16"/>
        <v>702</v>
      </c>
      <c r="R26" s="547">
        <f t="shared" si="17"/>
        <v>0</v>
      </c>
      <c r="S26" s="532">
        <f t="shared" si="18"/>
        <v>-100</v>
      </c>
      <c r="T26" s="537">
        <v>702</v>
      </c>
      <c r="U26" s="547">
        <v>0</v>
      </c>
      <c r="V26" s="532">
        <f t="shared" si="19"/>
        <v>-100</v>
      </c>
      <c r="W26" s="537">
        <f t="shared" si="24"/>
        <v>202</v>
      </c>
      <c r="X26" s="547">
        <f t="shared" si="25"/>
        <v>0</v>
      </c>
      <c r="Y26" s="532">
        <f t="shared" si="26"/>
        <v>-100</v>
      </c>
      <c r="Z26" s="641">
        <v>904</v>
      </c>
      <c r="AA26" s="642">
        <v>0</v>
      </c>
      <c r="AB26" s="532">
        <f t="shared" si="27"/>
        <v>-100</v>
      </c>
      <c r="AC26" s="537">
        <f t="shared" si="8"/>
        <v>0</v>
      </c>
      <c r="AD26" s="547">
        <f t="shared" si="9"/>
        <v>0</v>
      </c>
      <c r="AE26" s="530">
        <v>0</v>
      </c>
      <c r="AF26" s="537">
        <v>904</v>
      </c>
      <c r="AG26" s="547">
        <v>0</v>
      </c>
      <c r="AH26" s="532">
        <f t="shared" si="22"/>
        <v>-100</v>
      </c>
    </row>
    <row r="27" spans="1:34">
      <c r="A27" s="3"/>
      <c r="B27" s="39" t="s">
        <v>186</v>
      </c>
      <c r="C27" s="94">
        <v>1162</v>
      </c>
      <c r="D27" s="94">
        <v>262</v>
      </c>
      <c r="E27" s="94">
        <v>385</v>
      </c>
      <c r="F27" s="362">
        <v>352</v>
      </c>
      <c r="G27" s="102">
        <v>1152</v>
      </c>
      <c r="H27" s="642">
        <v>0</v>
      </c>
      <c r="I27" s="642">
        <v>201</v>
      </c>
      <c r="J27" s="530">
        <v>0</v>
      </c>
      <c r="K27" s="537">
        <f t="shared" si="12"/>
        <v>100</v>
      </c>
      <c r="L27" s="547">
        <f t="shared" si="13"/>
        <v>0</v>
      </c>
      <c r="M27" s="530">
        <v>0</v>
      </c>
      <c r="N27" s="547">
        <v>100</v>
      </c>
      <c r="O27" s="547">
        <v>201</v>
      </c>
      <c r="P27" s="532">
        <f t="shared" si="15"/>
        <v>101</v>
      </c>
      <c r="Q27" s="537">
        <f t="shared" si="16"/>
        <v>200</v>
      </c>
      <c r="R27" s="547">
        <f t="shared" si="17"/>
        <v>0</v>
      </c>
      <c r="S27" s="532">
        <f t="shared" si="18"/>
        <v>-100</v>
      </c>
      <c r="T27" s="537">
        <v>300</v>
      </c>
      <c r="U27" s="547">
        <v>201</v>
      </c>
      <c r="V27" s="532">
        <f t="shared" si="19"/>
        <v>-33</v>
      </c>
      <c r="W27" s="537">
        <f t="shared" si="24"/>
        <v>201</v>
      </c>
      <c r="X27" s="547">
        <f t="shared" si="25"/>
        <v>0</v>
      </c>
      <c r="Y27" s="532">
        <f t="shared" si="26"/>
        <v>-100</v>
      </c>
      <c r="Z27" s="641">
        <v>501</v>
      </c>
      <c r="AA27" s="642">
        <v>201</v>
      </c>
      <c r="AB27" s="532">
        <f t="shared" si="27"/>
        <v>-59.9</v>
      </c>
      <c r="AC27" s="537">
        <f t="shared" si="8"/>
        <v>100</v>
      </c>
      <c r="AD27" s="547">
        <f t="shared" si="9"/>
        <v>0</v>
      </c>
      <c r="AE27" s="532">
        <f t="shared" si="10"/>
        <v>-100</v>
      </c>
      <c r="AF27" s="537">
        <v>601</v>
      </c>
      <c r="AG27" s="547">
        <v>201</v>
      </c>
      <c r="AH27" s="532">
        <f t="shared" si="22"/>
        <v>-66.599999999999994</v>
      </c>
    </row>
    <row r="28" spans="1:34">
      <c r="A28" s="3"/>
      <c r="B28" s="39" t="s">
        <v>190</v>
      </c>
      <c r="C28" s="94">
        <v>889</v>
      </c>
      <c r="D28" s="94">
        <v>1669</v>
      </c>
      <c r="E28" s="94">
        <v>1881</v>
      </c>
      <c r="F28" s="362">
        <v>1516</v>
      </c>
      <c r="G28" s="102">
        <v>1042</v>
      </c>
      <c r="H28" s="642">
        <v>154</v>
      </c>
      <c r="I28" s="642">
        <v>50</v>
      </c>
      <c r="J28" s="532">
        <f t="shared" si="11"/>
        <v>-67.5</v>
      </c>
      <c r="K28" s="537">
        <f t="shared" si="12"/>
        <v>258</v>
      </c>
      <c r="L28" s="547">
        <f t="shared" si="13"/>
        <v>251</v>
      </c>
      <c r="M28" s="532">
        <f t="shared" si="14"/>
        <v>-2.7</v>
      </c>
      <c r="N28" s="547">
        <v>412</v>
      </c>
      <c r="O28" s="547">
        <v>301</v>
      </c>
      <c r="P28" s="532">
        <f t="shared" si="15"/>
        <v>-26.9</v>
      </c>
      <c r="Q28" s="537">
        <f t="shared" si="16"/>
        <v>54</v>
      </c>
      <c r="R28" s="547">
        <f t="shared" si="17"/>
        <v>49</v>
      </c>
      <c r="S28" s="532">
        <f t="shared" si="18"/>
        <v>-9.3000000000000007</v>
      </c>
      <c r="T28" s="537">
        <v>466</v>
      </c>
      <c r="U28" s="547">
        <v>350</v>
      </c>
      <c r="V28" s="532">
        <f t="shared" si="19"/>
        <v>-24.9</v>
      </c>
      <c r="W28" s="537">
        <f t="shared" si="24"/>
        <v>50</v>
      </c>
      <c r="X28" s="547">
        <f t="shared" si="25"/>
        <v>50</v>
      </c>
      <c r="Y28" s="532">
        <f t="shared" si="26"/>
        <v>0</v>
      </c>
      <c r="Z28" s="641">
        <v>516</v>
      </c>
      <c r="AA28" s="642">
        <v>400</v>
      </c>
      <c r="AB28" s="532">
        <f t="shared" si="27"/>
        <v>-22.5</v>
      </c>
      <c r="AC28" s="537">
        <f t="shared" si="8"/>
        <v>0</v>
      </c>
      <c r="AD28" s="547">
        <f t="shared" si="9"/>
        <v>150</v>
      </c>
      <c r="AE28" s="530">
        <v>0</v>
      </c>
      <c r="AF28" s="537">
        <v>516</v>
      </c>
      <c r="AG28" s="547">
        <v>550</v>
      </c>
      <c r="AH28" s="532">
        <f t="shared" si="22"/>
        <v>6.6</v>
      </c>
    </row>
    <row r="29" spans="1:34" s="605" customFormat="1">
      <c r="A29" s="675"/>
      <c r="B29" s="611" t="s">
        <v>524</v>
      </c>
      <c r="C29" s="94">
        <v>964</v>
      </c>
      <c r="D29" s="94">
        <v>100</v>
      </c>
      <c r="E29" s="94">
        <v>225</v>
      </c>
      <c r="F29" s="547">
        <v>624</v>
      </c>
      <c r="G29" s="102">
        <v>876</v>
      </c>
      <c r="H29" s="642">
        <v>100</v>
      </c>
      <c r="I29" s="642">
        <v>50</v>
      </c>
      <c r="J29" s="532">
        <f t="shared" si="11"/>
        <v>-50</v>
      </c>
      <c r="K29" s="537">
        <f t="shared" si="12"/>
        <v>0</v>
      </c>
      <c r="L29" s="547">
        <f t="shared" si="13"/>
        <v>0</v>
      </c>
      <c r="M29" s="530">
        <v>0</v>
      </c>
      <c r="N29" s="547">
        <v>100</v>
      </c>
      <c r="O29" s="547">
        <v>50</v>
      </c>
      <c r="P29" s="532">
        <f t="shared" si="15"/>
        <v>-50</v>
      </c>
      <c r="Q29" s="537">
        <f t="shared" si="16"/>
        <v>100</v>
      </c>
      <c r="R29" s="547">
        <f t="shared" si="17"/>
        <v>76</v>
      </c>
      <c r="S29" s="532">
        <f t="shared" si="18"/>
        <v>-24</v>
      </c>
      <c r="T29" s="537">
        <v>200</v>
      </c>
      <c r="U29" s="547">
        <v>126</v>
      </c>
      <c r="V29" s="532">
        <f t="shared" si="19"/>
        <v>-37</v>
      </c>
      <c r="W29" s="537">
        <f t="shared" si="24"/>
        <v>150</v>
      </c>
      <c r="X29" s="547">
        <f t="shared" si="25"/>
        <v>0</v>
      </c>
      <c r="Y29" s="532">
        <f t="shared" si="26"/>
        <v>-100</v>
      </c>
      <c r="Z29" s="641">
        <v>350</v>
      </c>
      <c r="AA29" s="642">
        <v>126</v>
      </c>
      <c r="AB29" s="532">
        <f t="shared" si="27"/>
        <v>-64</v>
      </c>
      <c r="AC29" s="537">
        <f t="shared" si="8"/>
        <v>51</v>
      </c>
      <c r="AD29" s="547">
        <f t="shared" si="9"/>
        <v>0</v>
      </c>
      <c r="AE29" s="532">
        <f t="shared" si="10"/>
        <v>-100</v>
      </c>
      <c r="AF29" s="537">
        <v>401</v>
      </c>
      <c r="AG29" s="547">
        <v>126</v>
      </c>
      <c r="AH29" s="532">
        <f t="shared" si="22"/>
        <v>-68.599999999999994</v>
      </c>
    </row>
    <row r="30" spans="1:34">
      <c r="A30" s="3"/>
      <c r="B30" s="39" t="s">
        <v>192</v>
      </c>
      <c r="C30" s="94">
        <v>926</v>
      </c>
      <c r="D30" s="94">
        <v>930</v>
      </c>
      <c r="E30" s="94">
        <v>1761</v>
      </c>
      <c r="F30" s="362">
        <v>481</v>
      </c>
      <c r="G30" s="102">
        <v>833</v>
      </c>
      <c r="H30" s="642">
        <v>101</v>
      </c>
      <c r="I30" s="642">
        <v>20</v>
      </c>
      <c r="J30" s="247">
        <f>ROUND(((I30/H30-1)*100), 1)</f>
        <v>-80.2</v>
      </c>
      <c r="K30" s="245">
        <f>N30-H30</f>
        <v>126</v>
      </c>
      <c r="L30" s="362">
        <f>O30-I30</f>
        <v>0</v>
      </c>
      <c r="M30" s="247">
        <f>ROUND(((L30/K30-1)*100), 1)</f>
        <v>-100</v>
      </c>
      <c r="N30" s="547">
        <v>227</v>
      </c>
      <c r="O30" s="547">
        <v>20</v>
      </c>
      <c r="P30" s="247">
        <f>ROUND(((O30/N30-1)*100), 1)</f>
        <v>-91.2</v>
      </c>
      <c r="Q30" s="245">
        <f>T30-N30</f>
        <v>176</v>
      </c>
      <c r="R30" s="362">
        <f>U30-O30</f>
        <v>0</v>
      </c>
      <c r="S30" s="532">
        <f t="shared" si="18"/>
        <v>-100</v>
      </c>
      <c r="T30" s="537">
        <v>403</v>
      </c>
      <c r="U30" s="547">
        <v>20</v>
      </c>
      <c r="V30" s="247">
        <f>ROUND(((U30/T30-1)*100), 1)</f>
        <v>-95</v>
      </c>
      <c r="W30" s="245">
        <f>Z30-T30</f>
        <v>177</v>
      </c>
      <c r="X30" s="362">
        <f>AA30-U30</f>
        <v>0</v>
      </c>
      <c r="Y30" s="532">
        <f t="shared" si="26"/>
        <v>-100</v>
      </c>
      <c r="Z30" s="641">
        <v>580</v>
      </c>
      <c r="AA30" s="642">
        <v>20</v>
      </c>
      <c r="AB30" s="247">
        <f t="shared" ref="AB30:AB43" si="28">ROUND(((AA30/Z30-1)*100), 1)</f>
        <v>-96.6</v>
      </c>
      <c r="AC30" s="537">
        <f t="shared" si="8"/>
        <v>177</v>
      </c>
      <c r="AD30" s="547">
        <f t="shared" si="9"/>
        <v>0</v>
      </c>
      <c r="AE30" s="532">
        <f t="shared" si="10"/>
        <v>-100</v>
      </c>
      <c r="AF30" s="537">
        <v>757</v>
      </c>
      <c r="AG30" s="547">
        <v>20</v>
      </c>
      <c r="AH30" s="247">
        <f t="shared" ref="AH30:AH37" si="29">ROUND(((AG30/AF30-1)*100), 1)</f>
        <v>-97.4</v>
      </c>
    </row>
    <row r="31" spans="1:34">
      <c r="A31" s="3"/>
      <c r="B31" s="39" t="s">
        <v>18</v>
      </c>
      <c r="C31" s="94">
        <f t="shared" ref="C31:I31" si="30">C32-SUM(C5:C30)</f>
        <v>5581</v>
      </c>
      <c r="D31" s="94">
        <f t="shared" si="30"/>
        <v>13870</v>
      </c>
      <c r="E31" s="94">
        <f t="shared" si="30"/>
        <v>8382</v>
      </c>
      <c r="F31" s="103">
        <f t="shared" si="30"/>
        <v>5152</v>
      </c>
      <c r="G31" s="332">
        <f t="shared" si="30"/>
        <v>3955</v>
      </c>
      <c r="H31" s="643">
        <f t="shared" si="30"/>
        <v>358</v>
      </c>
      <c r="I31" s="643">
        <f t="shared" si="30"/>
        <v>370</v>
      </c>
      <c r="J31" s="247">
        <f>ROUND(((I31/H31-1)*100), 1)</f>
        <v>3.4</v>
      </c>
      <c r="K31" s="386">
        <f>K32-SUM(K5:K30)</f>
        <v>574</v>
      </c>
      <c r="L31" s="386">
        <f>L32-SUM(L5:L30)</f>
        <v>244</v>
      </c>
      <c r="M31" s="247">
        <f>ROUND(((L31/K31-1)*100), 1)</f>
        <v>-57.5</v>
      </c>
      <c r="N31" s="574">
        <f>N32-SUM(N5:N30)</f>
        <v>932</v>
      </c>
      <c r="O31" s="574">
        <f>O32-SUM(O5:O30)</f>
        <v>614</v>
      </c>
      <c r="P31" s="247">
        <f>ROUND(((O31/N31-1)*100), 1)</f>
        <v>-34.1</v>
      </c>
      <c r="Q31" s="386">
        <f>Q32-SUM(Q5:Q30)</f>
        <v>155</v>
      </c>
      <c r="R31" s="386">
        <f>R32-SUM(R5:R30)</f>
        <v>236</v>
      </c>
      <c r="S31" s="247">
        <f>ROUND(((R31/Q31-1)*100), 1)</f>
        <v>52.3</v>
      </c>
      <c r="T31" s="574">
        <f>T32-SUM(T5:T30)</f>
        <v>1087</v>
      </c>
      <c r="U31" s="574">
        <f>U32-SUM(U5:U30)</f>
        <v>850</v>
      </c>
      <c r="V31" s="247">
        <f>ROUND(((U31/T31-1)*100), 1)</f>
        <v>-21.8</v>
      </c>
      <c r="W31" s="386">
        <f>W32-SUM(W5:W30)</f>
        <v>266</v>
      </c>
      <c r="X31" s="386">
        <f>X32-SUM(X5:X30)</f>
        <v>280</v>
      </c>
      <c r="Y31" s="247">
        <f>ROUND(((X31/W31-1)*100), 1)</f>
        <v>5.3</v>
      </c>
      <c r="Z31" s="643">
        <f>Z32-SUM(Z5:Z30)</f>
        <v>1353</v>
      </c>
      <c r="AA31" s="643">
        <f>AA32-SUM(AA5:AA30)</f>
        <v>1130</v>
      </c>
      <c r="AB31" s="247">
        <f t="shared" si="28"/>
        <v>-16.5</v>
      </c>
      <c r="AC31" s="386">
        <f>AC32-SUM(AC5:AC30)</f>
        <v>266</v>
      </c>
      <c r="AD31" s="386">
        <f>AD32-SUM(AD5:AD30)</f>
        <v>2</v>
      </c>
      <c r="AE31" s="247">
        <f>ROUND(((AD31/AC31-1)*100), 1)</f>
        <v>-99.2</v>
      </c>
      <c r="AF31" s="574">
        <f>AF32-SUM(AF5:AF30)</f>
        <v>1619</v>
      </c>
      <c r="AG31" s="574">
        <f>AG32-SUM(AG5:AG30)</f>
        <v>1132</v>
      </c>
      <c r="AH31" s="247">
        <f t="shared" si="29"/>
        <v>-30.1</v>
      </c>
    </row>
    <row r="32" spans="1:34">
      <c r="A32" s="3"/>
      <c r="B32" s="41" t="s">
        <v>101</v>
      </c>
      <c r="C32" s="95">
        <v>572828</v>
      </c>
      <c r="D32" s="95">
        <v>534026</v>
      </c>
      <c r="E32" s="95">
        <v>589791</v>
      </c>
      <c r="F32" s="363">
        <v>550925</v>
      </c>
      <c r="G32" s="326">
        <v>609326</v>
      </c>
      <c r="H32" s="644">
        <v>46224</v>
      </c>
      <c r="I32" s="644">
        <v>41690</v>
      </c>
      <c r="J32" s="246">
        <f>ROUND(((I32/H32-1)*100), 1)</f>
        <v>-9.8000000000000007</v>
      </c>
      <c r="K32" s="378">
        <f t="shared" ref="K32:L32" si="31">N32-H32</f>
        <v>43875</v>
      </c>
      <c r="L32" s="363">
        <f t="shared" si="31"/>
        <v>47190</v>
      </c>
      <c r="M32" s="246">
        <f>ROUND(((L32/K32-1)*100), 1)</f>
        <v>7.6</v>
      </c>
      <c r="N32" s="703">
        <v>90099</v>
      </c>
      <c r="O32" s="554">
        <v>88880</v>
      </c>
      <c r="P32" s="246">
        <f>ROUND(((O32/N32-1)*100), 1)</f>
        <v>-1.4</v>
      </c>
      <c r="Q32" s="378">
        <f t="shared" ref="Q32" si="32">T32-N32</f>
        <v>61739</v>
      </c>
      <c r="R32" s="363">
        <f t="shared" ref="R32" si="33">U32-O32</f>
        <v>57693</v>
      </c>
      <c r="S32" s="246">
        <f>ROUND(((R32/Q32-1)*100), 1)</f>
        <v>-6.6</v>
      </c>
      <c r="T32" s="548">
        <v>151838</v>
      </c>
      <c r="U32" s="548">
        <v>146573</v>
      </c>
      <c r="V32" s="246">
        <f>ROUND(((U32/T32-1)*100), 1)</f>
        <v>-3.5</v>
      </c>
      <c r="W32" s="378">
        <f t="shared" ref="W32" si="34">Z32-T32</f>
        <v>52472</v>
      </c>
      <c r="X32" s="363">
        <f t="shared" ref="X32" si="35">AA32-U32</f>
        <v>50325</v>
      </c>
      <c r="Y32" s="246">
        <f>ROUND(((X32/W32-1)*100), 1)</f>
        <v>-4.0999999999999996</v>
      </c>
      <c r="Z32" s="644">
        <v>204310</v>
      </c>
      <c r="AA32" s="644">
        <v>196898</v>
      </c>
      <c r="AB32" s="246">
        <f t="shared" si="28"/>
        <v>-3.6</v>
      </c>
      <c r="AC32" s="378">
        <f t="shared" ref="AC32:AD32" si="36">AF32-Z32</f>
        <v>45004</v>
      </c>
      <c r="AD32" s="363">
        <f t="shared" si="36"/>
        <v>50343</v>
      </c>
      <c r="AE32" s="246">
        <f>ROUND(((AD32/AC32-1)*100), 1)</f>
        <v>11.9</v>
      </c>
      <c r="AF32" s="534">
        <v>249314</v>
      </c>
      <c r="AG32" s="548">
        <v>247241</v>
      </c>
      <c r="AH32" s="246">
        <f t="shared" si="29"/>
        <v>-0.8</v>
      </c>
    </row>
    <row r="33" spans="1:34">
      <c r="A33" s="7"/>
      <c r="B33" s="39" t="s">
        <v>45</v>
      </c>
      <c r="C33" s="94">
        <v>44427</v>
      </c>
      <c r="D33" s="94">
        <v>48622</v>
      </c>
      <c r="E33" s="94">
        <v>52442</v>
      </c>
      <c r="F33" s="362">
        <v>40033</v>
      </c>
      <c r="G33" s="102">
        <v>23525</v>
      </c>
      <c r="H33" s="642">
        <v>2978</v>
      </c>
      <c r="I33" s="642">
        <v>2293</v>
      </c>
      <c r="J33" s="247">
        <f>ROUND(((I33/H33-1)*100), 1)</f>
        <v>-23</v>
      </c>
      <c r="K33" s="245">
        <f t="shared" ref="K33:L33" si="37">N33-H33</f>
        <v>3739</v>
      </c>
      <c r="L33" s="362">
        <f t="shared" si="37"/>
        <v>828</v>
      </c>
      <c r="M33" s="247">
        <f>ROUND(((L33/K33-1)*100), 1)</f>
        <v>-77.900000000000006</v>
      </c>
      <c r="N33" s="547">
        <v>6717</v>
      </c>
      <c r="O33" s="547">
        <v>3121</v>
      </c>
      <c r="P33" s="247">
        <f>ROUND(((O33/N33-1)*100), 1)</f>
        <v>-53.5</v>
      </c>
      <c r="Q33" s="245">
        <f t="shared" ref="Q33:R34" si="38">T33-N33</f>
        <v>3708</v>
      </c>
      <c r="R33" s="362">
        <f t="shared" si="38"/>
        <v>1631</v>
      </c>
      <c r="S33" s="247">
        <f>ROUND(((R33/Q33-1)*100), 1)</f>
        <v>-56</v>
      </c>
      <c r="T33" s="547">
        <v>10425</v>
      </c>
      <c r="U33" s="547">
        <v>4752</v>
      </c>
      <c r="V33" s="247">
        <f>ROUND(((U33/T33-1)*100), 1)</f>
        <v>-54.4</v>
      </c>
      <c r="W33" s="245">
        <f t="shared" ref="W33:X35" si="39">Z33-T33</f>
        <v>1733</v>
      </c>
      <c r="X33" s="362">
        <f t="shared" si="39"/>
        <v>1302</v>
      </c>
      <c r="Y33" s="247">
        <f>ROUND(((X33/W33-1)*100), 1)</f>
        <v>-24.9</v>
      </c>
      <c r="Z33" s="642">
        <v>12158</v>
      </c>
      <c r="AA33" s="642">
        <v>6054</v>
      </c>
      <c r="AB33" s="247">
        <f t="shared" si="28"/>
        <v>-50.2</v>
      </c>
      <c r="AC33" s="245">
        <f t="shared" ref="AC33:AD46" si="40">AF33-Z33</f>
        <v>1687</v>
      </c>
      <c r="AD33" s="362">
        <f t="shared" si="40"/>
        <v>845</v>
      </c>
      <c r="AE33" s="247">
        <f>ROUND(((AD33/AC33-1)*100), 1)</f>
        <v>-49.9</v>
      </c>
      <c r="AF33" s="547">
        <v>13845</v>
      </c>
      <c r="AG33" s="547">
        <v>6899</v>
      </c>
      <c r="AH33" s="247">
        <f t="shared" si="29"/>
        <v>-50.2</v>
      </c>
    </row>
    <row r="34" spans="1:34">
      <c r="A34" s="3" t="s">
        <v>103</v>
      </c>
      <c r="B34" s="39" t="s">
        <v>193</v>
      </c>
      <c r="C34" s="94">
        <v>0</v>
      </c>
      <c r="D34" s="94">
        <v>1810</v>
      </c>
      <c r="E34" s="94">
        <v>2427</v>
      </c>
      <c r="F34" s="362">
        <v>485</v>
      </c>
      <c r="G34" s="102">
        <v>6661</v>
      </c>
      <c r="H34" s="642">
        <v>0</v>
      </c>
      <c r="I34" s="642">
        <v>878</v>
      </c>
      <c r="J34" s="570">
        <v>0</v>
      </c>
      <c r="K34" s="537">
        <f t="shared" ref="K34:K43" si="41">N34-H34</f>
        <v>0</v>
      </c>
      <c r="L34" s="547">
        <f t="shared" ref="L34:L43" si="42">O34-I34</f>
        <v>565</v>
      </c>
      <c r="M34" s="570">
        <v>0</v>
      </c>
      <c r="N34" s="547">
        <v>0</v>
      </c>
      <c r="O34" s="547">
        <v>1443</v>
      </c>
      <c r="P34" s="570">
        <v>0</v>
      </c>
      <c r="Q34" s="245">
        <f t="shared" si="38"/>
        <v>907</v>
      </c>
      <c r="R34" s="362">
        <f t="shared" si="38"/>
        <v>1759</v>
      </c>
      <c r="S34" s="616">
        <f>ROUND(((R34/Q34-1)*100), 1)</f>
        <v>93.9</v>
      </c>
      <c r="T34" s="547">
        <v>907</v>
      </c>
      <c r="U34" s="547">
        <v>3202</v>
      </c>
      <c r="V34" s="616">
        <f>ROUND(((U34/T34-1)*100), 1)</f>
        <v>253</v>
      </c>
      <c r="W34" s="245">
        <f t="shared" si="39"/>
        <v>74</v>
      </c>
      <c r="X34" s="362">
        <f t="shared" si="39"/>
        <v>1634</v>
      </c>
      <c r="Y34" s="616">
        <f>ROUND(((X34/W34-1)*100), 1)</f>
        <v>2108.1</v>
      </c>
      <c r="Z34" s="642">
        <v>981</v>
      </c>
      <c r="AA34" s="642">
        <v>4836</v>
      </c>
      <c r="AB34" s="616">
        <f t="shared" si="28"/>
        <v>393</v>
      </c>
      <c r="AC34" s="245">
        <f t="shared" si="40"/>
        <v>0</v>
      </c>
      <c r="AD34" s="362">
        <f t="shared" si="40"/>
        <v>970</v>
      </c>
      <c r="AE34" s="530">
        <v>0</v>
      </c>
      <c r="AF34" s="547">
        <v>981</v>
      </c>
      <c r="AG34" s="547">
        <v>5806</v>
      </c>
      <c r="AH34" s="616">
        <f t="shared" si="29"/>
        <v>491.8</v>
      </c>
    </row>
    <row r="35" spans="1:34">
      <c r="A35" s="3"/>
      <c r="B35" s="39" t="s">
        <v>320</v>
      </c>
      <c r="C35" s="94">
        <v>0</v>
      </c>
      <c r="D35" s="94">
        <v>0</v>
      </c>
      <c r="E35" s="94">
        <v>0</v>
      </c>
      <c r="F35" s="362">
        <v>4938</v>
      </c>
      <c r="G35" s="102">
        <v>6512</v>
      </c>
      <c r="H35" s="642">
        <v>668</v>
      </c>
      <c r="I35" s="642">
        <v>250</v>
      </c>
      <c r="J35" s="532">
        <f t="shared" ref="J35:J42" si="43">ROUND(((I35/H35-1)*100), 1)</f>
        <v>-62.6</v>
      </c>
      <c r="K35" s="537">
        <f t="shared" si="41"/>
        <v>0</v>
      </c>
      <c r="L35" s="547">
        <f t="shared" si="42"/>
        <v>126</v>
      </c>
      <c r="M35" s="570">
        <v>0</v>
      </c>
      <c r="N35" s="547">
        <v>668</v>
      </c>
      <c r="O35" s="547">
        <v>376</v>
      </c>
      <c r="P35" s="532">
        <f t="shared" ref="P35:P43" si="44">ROUND(((O35/N35-1)*100), 1)</f>
        <v>-43.7</v>
      </c>
      <c r="Q35" s="537">
        <f t="shared" ref="Q35:Q44" si="45">T35-N35</f>
        <v>1576</v>
      </c>
      <c r="R35" s="547">
        <f t="shared" ref="R35:R44" si="46">U35-O35</f>
        <v>499</v>
      </c>
      <c r="S35" s="616">
        <f t="shared" ref="S35:S40" si="47">ROUND(((R35/Q35-1)*100), 1)</f>
        <v>-68.3</v>
      </c>
      <c r="T35" s="547">
        <v>2244</v>
      </c>
      <c r="U35" s="547">
        <v>875</v>
      </c>
      <c r="V35" s="616">
        <f t="shared" ref="V35:V43" si="48">ROUND(((U35/T35-1)*100), 1)</f>
        <v>-61</v>
      </c>
      <c r="W35" s="245">
        <f t="shared" si="39"/>
        <v>346</v>
      </c>
      <c r="X35" s="362">
        <f t="shared" si="39"/>
        <v>100</v>
      </c>
      <c r="Y35" s="532">
        <f>ROUND(((X35/W35-1)*100), 1)</f>
        <v>-71.099999999999994</v>
      </c>
      <c r="Z35" s="642">
        <v>2590</v>
      </c>
      <c r="AA35" s="642">
        <v>975</v>
      </c>
      <c r="AB35" s="247">
        <f t="shared" si="28"/>
        <v>-62.4</v>
      </c>
      <c r="AC35" s="537">
        <f t="shared" si="40"/>
        <v>975</v>
      </c>
      <c r="AD35" s="362">
        <f t="shared" si="40"/>
        <v>400</v>
      </c>
      <c r="AE35" s="532">
        <f>ROUND(((AD35/AC35-1)*100), 1)</f>
        <v>-59</v>
      </c>
      <c r="AF35" s="547">
        <v>3565</v>
      </c>
      <c r="AG35" s="547">
        <v>1375</v>
      </c>
      <c r="AH35" s="247">
        <f t="shared" si="29"/>
        <v>-61.4</v>
      </c>
    </row>
    <row r="36" spans="1:34">
      <c r="A36" s="3"/>
      <c r="B36" s="39" t="s">
        <v>315</v>
      </c>
      <c r="C36" s="94">
        <v>0</v>
      </c>
      <c r="D36" s="94">
        <v>0</v>
      </c>
      <c r="E36" s="94">
        <v>21</v>
      </c>
      <c r="F36" s="362">
        <v>385</v>
      </c>
      <c r="G36" s="102">
        <v>1674</v>
      </c>
      <c r="H36" s="642">
        <v>0</v>
      </c>
      <c r="I36" s="642">
        <v>0</v>
      </c>
      <c r="J36" s="570">
        <v>0</v>
      </c>
      <c r="K36" s="537">
        <f t="shared" si="41"/>
        <v>0</v>
      </c>
      <c r="L36" s="547">
        <f t="shared" si="42"/>
        <v>0</v>
      </c>
      <c r="M36" s="570">
        <v>0</v>
      </c>
      <c r="N36" s="547">
        <v>0</v>
      </c>
      <c r="O36" s="547">
        <v>0</v>
      </c>
      <c r="P36" s="570">
        <v>0</v>
      </c>
      <c r="Q36" s="537">
        <f t="shared" si="45"/>
        <v>195</v>
      </c>
      <c r="R36" s="547">
        <f t="shared" si="46"/>
        <v>0</v>
      </c>
      <c r="S36" s="616">
        <f t="shared" si="47"/>
        <v>-100</v>
      </c>
      <c r="T36" s="547">
        <v>195</v>
      </c>
      <c r="U36" s="547">
        <v>0</v>
      </c>
      <c r="V36" s="616">
        <f t="shared" si="48"/>
        <v>-100</v>
      </c>
      <c r="W36" s="537">
        <f t="shared" ref="W36:W42" si="49">Z36-T36</f>
        <v>147</v>
      </c>
      <c r="X36" s="547">
        <f t="shared" ref="X36:X42" si="50">AA36-U36</f>
        <v>0</v>
      </c>
      <c r="Y36" s="532">
        <f t="shared" ref="Y36:Y37" si="51">ROUND(((X36/W36-1)*100), 1)</f>
        <v>-100</v>
      </c>
      <c r="Z36" s="642">
        <v>342</v>
      </c>
      <c r="AA36" s="642">
        <v>0</v>
      </c>
      <c r="AB36" s="679">
        <f t="shared" si="28"/>
        <v>-100</v>
      </c>
      <c r="AC36" s="537">
        <f t="shared" si="40"/>
        <v>150</v>
      </c>
      <c r="AD36" s="547">
        <f t="shared" ref="AD36:AD47" si="52">AG36-AA36</f>
        <v>0</v>
      </c>
      <c r="AE36" s="532">
        <f t="shared" ref="AE36:AE42" si="53">ROUND(((AD36/AC36-1)*100), 1)</f>
        <v>-100</v>
      </c>
      <c r="AF36" s="547">
        <v>492</v>
      </c>
      <c r="AG36" s="547">
        <v>0</v>
      </c>
      <c r="AH36" s="679">
        <f t="shared" si="29"/>
        <v>-100</v>
      </c>
    </row>
    <row r="37" spans="1:34">
      <c r="A37" s="3"/>
      <c r="B37" s="39" t="s">
        <v>194</v>
      </c>
      <c r="C37" s="94">
        <v>1701</v>
      </c>
      <c r="D37" s="94">
        <v>249</v>
      </c>
      <c r="E37" s="94">
        <v>765</v>
      </c>
      <c r="F37" s="362">
        <v>1817</v>
      </c>
      <c r="G37" s="102">
        <v>503</v>
      </c>
      <c r="H37" s="642">
        <v>87</v>
      </c>
      <c r="I37" s="642">
        <v>0</v>
      </c>
      <c r="J37" s="532">
        <f t="shared" si="43"/>
        <v>-100</v>
      </c>
      <c r="K37" s="537">
        <f t="shared" si="41"/>
        <v>0</v>
      </c>
      <c r="L37" s="547">
        <f t="shared" si="42"/>
        <v>0</v>
      </c>
      <c r="M37" s="570">
        <v>0</v>
      </c>
      <c r="N37" s="547">
        <v>87</v>
      </c>
      <c r="O37" s="547">
        <v>0</v>
      </c>
      <c r="P37" s="532">
        <f t="shared" si="44"/>
        <v>-100</v>
      </c>
      <c r="Q37" s="537">
        <f t="shared" si="45"/>
        <v>0</v>
      </c>
      <c r="R37" s="547">
        <f t="shared" si="46"/>
        <v>0</v>
      </c>
      <c r="S37" s="570">
        <v>0</v>
      </c>
      <c r="T37" s="547">
        <v>87</v>
      </c>
      <c r="U37" s="547">
        <v>0</v>
      </c>
      <c r="V37" s="616">
        <f t="shared" si="48"/>
        <v>-100</v>
      </c>
      <c r="W37" s="537">
        <f t="shared" si="49"/>
        <v>227</v>
      </c>
      <c r="X37" s="547">
        <f t="shared" si="50"/>
        <v>151</v>
      </c>
      <c r="Y37" s="532">
        <f t="shared" si="51"/>
        <v>-33.5</v>
      </c>
      <c r="Z37" s="642">
        <v>314</v>
      </c>
      <c r="AA37" s="642">
        <v>151</v>
      </c>
      <c r="AB37" s="679">
        <f t="shared" si="28"/>
        <v>-51.9</v>
      </c>
      <c r="AC37" s="537">
        <f t="shared" si="40"/>
        <v>125</v>
      </c>
      <c r="AD37" s="547">
        <f t="shared" si="52"/>
        <v>451</v>
      </c>
      <c r="AE37" s="532">
        <f t="shared" si="53"/>
        <v>260.8</v>
      </c>
      <c r="AF37" s="547">
        <v>439</v>
      </c>
      <c r="AG37" s="547">
        <v>602</v>
      </c>
      <c r="AH37" s="247">
        <f t="shared" si="29"/>
        <v>37.1</v>
      </c>
    </row>
    <row r="38" spans="1:34">
      <c r="A38" s="3"/>
      <c r="B38" s="39" t="s">
        <v>168</v>
      </c>
      <c r="C38" s="94">
        <v>0</v>
      </c>
      <c r="D38" s="94">
        <v>200</v>
      </c>
      <c r="E38" s="94">
        <v>330</v>
      </c>
      <c r="F38" s="362">
        <v>0</v>
      </c>
      <c r="G38" s="102">
        <v>299</v>
      </c>
      <c r="H38" s="642">
        <v>0</v>
      </c>
      <c r="I38" s="642">
        <v>99</v>
      </c>
      <c r="J38" s="570">
        <v>0</v>
      </c>
      <c r="K38" s="537">
        <f t="shared" si="41"/>
        <v>0</v>
      </c>
      <c r="L38" s="547">
        <f t="shared" si="42"/>
        <v>192</v>
      </c>
      <c r="M38" s="570">
        <v>0</v>
      </c>
      <c r="N38" s="547">
        <v>0</v>
      </c>
      <c r="O38" s="547">
        <v>291</v>
      </c>
      <c r="P38" s="570">
        <v>0</v>
      </c>
      <c r="Q38" s="537">
        <f t="shared" si="45"/>
        <v>0</v>
      </c>
      <c r="R38" s="547">
        <f t="shared" si="46"/>
        <v>299</v>
      </c>
      <c r="S38" s="570">
        <v>0</v>
      </c>
      <c r="T38" s="547">
        <v>0</v>
      </c>
      <c r="U38" s="547">
        <v>590</v>
      </c>
      <c r="V38" s="570">
        <v>0</v>
      </c>
      <c r="W38" s="537">
        <f t="shared" si="49"/>
        <v>0</v>
      </c>
      <c r="X38" s="547">
        <f t="shared" si="50"/>
        <v>0</v>
      </c>
      <c r="Y38" s="530">
        <v>0</v>
      </c>
      <c r="Z38" s="642">
        <v>0</v>
      </c>
      <c r="AA38" s="642">
        <v>590</v>
      </c>
      <c r="AB38" s="570">
        <v>0</v>
      </c>
      <c r="AC38" s="537">
        <f t="shared" si="40"/>
        <v>0</v>
      </c>
      <c r="AD38" s="547">
        <f t="shared" si="52"/>
        <v>0</v>
      </c>
      <c r="AE38" s="530">
        <v>0</v>
      </c>
      <c r="AF38" s="547">
        <v>0</v>
      </c>
      <c r="AG38" s="547">
        <v>590</v>
      </c>
      <c r="AH38" s="530">
        <v>0</v>
      </c>
    </row>
    <row r="39" spans="1:34" s="605" customFormat="1">
      <c r="A39" s="675"/>
      <c r="B39" s="611" t="s">
        <v>525</v>
      </c>
      <c r="C39" s="94">
        <v>0</v>
      </c>
      <c r="D39" s="94">
        <v>9</v>
      </c>
      <c r="E39" s="94">
        <v>10</v>
      </c>
      <c r="F39" s="547">
        <v>20</v>
      </c>
      <c r="G39" s="102">
        <v>140</v>
      </c>
      <c r="H39" s="642">
        <v>0</v>
      </c>
      <c r="I39" s="642">
        <v>0</v>
      </c>
      <c r="J39" s="570">
        <v>0</v>
      </c>
      <c r="K39" s="537">
        <f t="shared" si="41"/>
        <v>0</v>
      </c>
      <c r="L39" s="547">
        <f t="shared" si="42"/>
        <v>80</v>
      </c>
      <c r="M39" s="570">
        <v>0</v>
      </c>
      <c r="N39" s="547">
        <v>0</v>
      </c>
      <c r="O39" s="547">
        <v>80</v>
      </c>
      <c r="P39" s="570">
        <v>0</v>
      </c>
      <c r="Q39" s="537">
        <f t="shared" si="45"/>
        <v>0</v>
      </c>
      <c r="R39" s="547">
        <f t="shared" si="46"/>
        <v>0</v>
      </c>
      <c r="S39" s="570">
        <v>0</v>
      </c>
      <c r="T39" s="547">
        <v>0</v>
      </c>
      <c r="U39" s="547">
        <v>80</v>
      </c>
      <c r="V39" s="570">
        <v>0</v>
      </c>
      <c r="W39" s="537">
        <f t="shared" si="49"/>
        <v>0</v>
      </c>
      <c r="X39" s="547">
        <f t="shared" si="50"/>
        <v>41</v>
      </c>
      <c r="Y39" s="530">
        <v>0</v>
      </c>
      <c r="Z39" s="642">
        <v>0</v>
      </c>
      <c r="AA39" s="642">
        <v>121</v>
      </c>
      <c r="AB39" s="570">
        <v>0</v>
      </c>
      <c r="AC39" s="537">
        <f t="shared" si="40"/>
        <v>0</v>
      </c>
      <c r="AD39" s="547">
        <f t="shared" si="52"/>
        <v>20</v>
      </c>
      <c r="AE39" s="530">
        <v>0</v>
      </c>
      <c r="AF39" s="547">
        <v>0</v>
      </c>
      <c r="AG39" s="547">
        <v>141</v>
      </c>
      <c r="AH39" s="530">
        <v>0</v>
      </c>
    </row>
    <row r="40" spans="1:34">
      <c r="A40" s="3"/>
      <c r="B40" s="39" t="s">
        <v>44</v>
      </c>
      <c r="C40" s="94">
        <v>1022</v>
      </c>
      <c r="D40" s="94">
        <v>199</v>
      </c>
      <c r="E40" s="94">
        <v>0</v>
      </c>
      <c r="F40" s="362">
        <v>64</v>
      </c>
      <c r="G40" s="102">
        <v>132</v>
      </c>
      <c r="H40" s="642">
        <v>0</v>
      </c>
      <c r="I40" s="642">
        <v>0</v>
      </c>
      <c r="J40" s="570">
        <v>0</v>
      </c>
      <c r="K40" s="537">
        <f t="shared" si="41"/>
        <v>0</v>
      </c>
      <c r="L40" s="547">
        <f t="shared" si="42"/>
        <v>0</v>
      </c>
      <c r="M40" s="570">
        <v>0</v>
      </c>
      <c r="N40" s="547">
        <v>0</v>
      </c>
      <c r="O40" s="547">
        <v>0</v>
      </c>
      <c r="P40" s="570">
        <v>0</v>
      </c>
      <c r="Q40" s="537">
        <f t="shared" si="45"/>
        <v>132</v>
      </c>
      <c r="R40" s="547">
        <f t="shared" si="46"/>
        <v>0</v>
      </c>
      <c r="S40" s="616">
        <f t="shared" si="47"/>
        <v>-100</v>
      </c>
      <c r="T40" s="547">
        <v>132</v>
      </c>
      <c r="U40" s="547">
        <v>0</v>
      </c>
      <c r="V40" s="616">
        <f t="shared" si="48"/>
        <v>-100</v>
      </c>
      <c r="W40" s="537">
        <f t="shared" si="49"/>
        <v>0</v>
      </c>
      <c r="X40" s="547">
        <f t="shared" si="50"/>
        <v>0</v>
      </c>
      <c r="Y40" s="530">
        <v>0</v>
      </c>
      <c r="Z40" s="642">
        <v>132</v>
      </c>
      <c r="AA40" s="642">
        <v>0</v>
      </c>
      <c r="AB40" s="679">
        <f t="shared" si="28"/>
        <v>-100</v>
      </c>
      <c r="AC40" s="537">
        <f t="shared" si="40"/>
        <v>0</v>
      </c>
      <c r="AD40" s="547">
        <f t="shared" si="52"/>
        <v>0</v>
      </c>
      <c r="AE40" s="530">
        <v>0</v>
      </c>
      <c r="AF40" s="547">
        <v>132</v>
      </c>
      <c r="AG40" s="547">
        <v>0</v>
      </c>
      <c r="AH40" s="247">
        <f>ROUND(((AG40/AF40-1)*100), 1)</f>
        <v>-100</v>
      </c>
    </row>
    <row r="41" spans="1:34" s="277" customFormat="1">
      <c r="A41" s="349"/>
      <c r="B41" s="39" t="s">
        <v>149</v>
      </c>
      <c r="C41" s="94">
        <v>20</v>
      </c>
      <c r="D41" s="94">
        <v>30</v>
      </c>
      <c r="E41" s="94">
        <v>120</v>
      </c>
      <c r="F41" s="362">
        <v>23</v>
      </c>
      <c r="G41" s="102">
        <v>127</v>
      </c>
      <c r="H41" s="642">
        <v>34</v>
      </c>
      <c r="I41" s="642">
        <v>0</v>
      </c>
      <c r="J41" s="532">
        <f t="shared" si="43"/>
        <v>-100</v>
      </c>
      <c r="K41" s="537">
        <f t="shared" si="41"/>
        <v>0</v>
      </c>
      <c r="L41" s="547">
        <f t="shared" si="42"/>
        <v>0</v>
      </c>
      <c r="M41" s="570">
        <v>0</v>
      </c>
      <c r="N41" s="547">
        <v>34</v>
      </c>
      <c r="O41" s="547">
        <v>0</v>
      </c>
      <c r="P41" s="532">
        <f t="shared" si="44"/>
        <v>-100</v>
      </c>
      <c r="Q41" s="537">
        <f t="shared" si="45"/>
        <v>0</v>
      </c>
      <c r="R41" s="547">
        <f t="shared" si="46"/>
        <v>0</v>
      </c>
      <c r="S41" s="570">
        <v>0</v>
      </c>
      <c r="T41" s="547">
        <v>34</v>
      </c>
      <c r="U41" s="547">
        <v>0</v>
      </c>
      <c r="V41" s="616">
        <f t="shared" si="48"/>
        <v>-100</v>
      </c>
      <c r="W41" s="537">
        <f t="shared" si="49"/>
        <v>0</v>
      </c>
      <c r="X41" s="547">
        <f t="shared" si="50"/>
        <v>9</v>
      </c>
      <c r="Y41" s="530">
        <v>0</v>
      </c>
      <c r="Z41" s="642">
        <v>34</v>
      </c>
      <c r="AA41" s="642">
        <v>9</v>
      </c>
      <c r="AB41" s="679">
        <f t="shared" si="28"/>
        <v>-73.5</v>
      </c>
      <c r="AC41" s="537">
        <f t="shared" si="40"/>
        <v>0</v>
      </c>
      <c r="AD41" s="547">
        <f t="shared" si="52"/>
        <v>0</v>
      </c>
      <c r="AE41" s="530">
        <v>0</v>
      </c>
      <c r="AF41" s="547">
        <v>34</v>
      </c>
      <c r="AG41" s="547">
        <v>9</v>
      </c>
      <c r="AH41" s="532">
        <f>ROUND(((AG41/AF41-1)*100), 1)</f>
        <v>-73.5</v>
      </c>
    </row>
    <row r="42" spans="1:34" s="605" customFormat="1">
      <c r="A42" s="675"/>
      <c r="B42" s="611" t="s">
        <v>526</v>
      </c>
      <c r="C42" s="94">
        <v>0</v>
      </c>
      <c r="D42" s="94">
        <v>3</v>
      </c>
      <c r="E42" s="94">
        <v>1</v>
      </c>
      <c r="F42" s="547">
        <v>32</v>
      </c>
      <c r="G42" s="102">
        <v>46</v>
      </c>
      <c r="H42" s="642">
        <v>24</v>
      </c>
      <c r="I42" s="642">
        <v>0</v>
      </c>
      <c r="J42" s="532">
        <f t="shared" si="43"/>
        <v>-100</v>
      </c>
      <c r="K42" s="537">
        <f t="shared" si="41"/>
        <v>0</v>
      </c>
      <c r="L42" s="547">
        <f t="shared" si="42"/>
        <v>0</v>
      </c>
      <c r="M42" s="570">
        <v>0</v>
      </c>
      <c r="N42" s="547">
        <v>24</v>
      </c>
      <c r="O42" s="547">
        <v>0</v>
      </c>
      <c r="P42" s="532">
        <f t="shared" si="44"/>
        <v>-100</v>
      </c>
      <c r="Q42" s="537">
        <f t="shared" si="45"/>
        <v>0</v>
      </c>
      <c r="R42" s="547">
        <f t="shared" si="46"/>
        <v>2</v>
      </c>
      <c r="S42" s="570">
        <v>0</v>
      </c>
      <c r="T42" s="547">
        <v>24</v>
      </c>
      <c r="U42" s="547">
        <v>2</v>
      </c>
      <c r="V42" s="616">
        <f t="shared" si="48"/>
        <v>-91.7</v>
      </c>
      <c r="W42" s="537">
        <f t="shared" si="49"/>
        <v>0</v>
      </c>
      <c r="X42" s="547">
        <f t="shared" si="50"/>
        <v>0</v>
      </c>
      <c r="Y42" s="530">
        <v>0</v>
      </c>
      <c r="Z42" s="642">
        <v>24</v>
      </c>
      <c r="AA42" s="642">
        <v>2</v>
      </c>
      <c r="AB42" s="679">
        <f t="shared" si="28"/>
        <v>-91.7</v>
      </c>
      <c r="AC42" s="537">
        <f t="shared" si="40"/>
        <v>10</v>
      </c>
      <c r="AD42" s="547">
        <f t="shared" si="52"/>
        <v>33</v>
      </c>
      <c r="AE42" s="532">
        <f t="shared" si="53"/>
        <v>230</v>
      </c>
      <c r="AF42" s="547">
        <v>34</v>
      </c>
      <c r="AG42" s="547">
        <v>35</v>
      </c>
      <c r="AH42" s="532">
        <f t="shared" ref="AH42:AH43" si="54">ROUND(((AG42/AF42-1)*100), 1)</f>
        <v>2.9</v>
      </c>
    </row>
    <row r="43" spans="1:34" s="277" customFormat="1">
      <c r="A43" s="358"/>
      <c r="B43" s="39" t="s">
        <v>169</v>
      </c>
      <c r="C43" s="94">
        <v>7963</v>
      </c>
      <c r="D43" s="94">
        <v>11884</v>
      </c>
      <c r="E43" s="94">
        <v>4147</v>
      </c>
      <c r="F43" s="362">
        <v>0</v>
      </c>
      <c r="G43" s="102">
        <v>3</v>
      </c>
      <c r="H43" s="642">
        <v>0</v>
      </c>
      <c r="I43" s="642">
        <v>0</v>
      </c>
      <c r="J43" s="206">
        <v>0</v>
      </c>
      <c r="K43" s="537">
        <f t="shared" si="41"/>
        <v>3</v>
      </c>
      <c r="L43" s="547">
        <f t="shared" si="42"/>
        <v>0</v>
      </c>
      <c r="M43" s="532">
        <f t="shared" ref="M43" si="55">ROUND(((L43/K43-1)*100), 1)</f>
        <v>-100</v>
      </c>
      <c r="N43" s="547">
        <v>3</v>
      </c>
      <c r="O43" s="547">
        <v>0</v>
      </c>
      <c r="P43" s="532">
        <f t="shared" si="44"/>
        <v>-100</v>
      </c>
      <c r="Q43" s="537">
        <f t="shared" si="45"/>
        <v>0</v>
      </c>
      <c r="R43" s="547">
        <f t="shared" si="46"/>
        <v>0</v>
      </c>
      <c r="S43" s="570">
        <v>0</v>
      </c>
      <c r="T43" s="547">
        <v>3</v>
      </c>
      <c r="U43" s="547">
        <v>0</v>
      </c>
      <c r="V43" s="616">
        <f t="shared" si="48"/>
        <v>-100</v>
      </c>
      <c r="W43" s="245">
        <f t="shared" ref="W43:X47" si="56">Z43-T43</f>
        <v>0</v>
      </c>
      <c r="X43" s="362">
        <f t="shared" si="56"/>
        <v>0</v>
      </c>
      <c r="Y43" s="530">
        <v>0</v>
      </c>
      <c r="Z43" s="642">
        <v>3</v>
      </c>
      <c r="AA43" s="642">
        <v>0</v>
      </c>
      <c r="AB43" s="679">
        <f t="shared" si="28"/>
        <v>-100</v>
      </c>
      <c r="AC43" s="537">
        <f t="shared" si="40"/>
        <v>0</v>
      </c>
      <c r="AD43" s="547">
        <f t="shared" si="52"/>
        <v>0</v>
      </c>
      <c r="AE43" s="530">
        <v>0</v>
      </c>
      <c r="AF43" s="547">
        <v>3</v>
      </c>
      <c r="AG43" s="547">
        <v>0</v>
      </c>
      <c r="AH43" s="532">
        <f t="shared" si="54"/>
        <v>-100</v>
      </c>
    </row>
    <row r="44" spans="1:34">
      <c r="A44" s="3"/>
      <c r="B44" s="39" t="s">
        <v>57</v>
      </c>
      <c r="C44" s="94">
        <v>493</v>
      </c>
      <c r="D44" s="94">
        <v>0</v>
      </c>
      <c r="E44" s="94">
        <v>568</v>
      </c>
      <c r="F44" s="362">
        <v>0</v>
      </c>
      <c r="G44" s="102">
        <v>0</v>
      </c>
      <c r="H44" s="642">
        <v>0</v>
      </c>
      <c r="I44" s="642">
        <v>0</v>
      </c>
      <c r="J44" s="206">
        <v>0</v>
      </c>
      <c r="K44" s="245">
        <f t="shared" ref="K44:L47" si="57">N44-H44</f>
        <v>0</v>
      </c>
      <c r="L44" s="362">
        <f t="shared" si="57"/>
        <v>0</v>
      </c>
      <c r="M44" s="206">
        <v>0</v>
      </c>
      <c r="N44" s="547">
        <v>0</v>
      </c>
      <c r="O44" s="547">
        <v>0</v>
      </c>
      <c r="P44" s="206">
        <v>0</v>
      </c>
      <c r="Q44" s="537">
        <f t="shared" si="45"/>
        <v>0</v>
      </c>
      <c r="R44" s="547">
        <f t="shared" si="46"/>
        <v>0</v>
      </c>
      <c r="S44" s="570">
        <v>0</v>
      </c>
      <c r="T44" s="547">
        <v>0</v>
      </c>
      <c r="U44" s="547">
        <v>0</v>
      </c>
      <c r="V44" s="570">
        <v>0</v>
      </c>
      <c r="W44" s="245">
        <f t="shared" si="56"/>
        <v>0</v>
      </c>
      <c r="X44" s="362">
        <f t="shared" si="56"/>
        <v>0</v>
      </c>
      <c r="Y44" s="465">
        <v>0</v>
      </c>
      <c r="Z44" s="642">
        <v>0</v>
      </c>
      <c r="AA44" s="642">
        <v>0</v>
      </c>
      <c r="AB44" s="465">
        <v>0</v>
      </c>
      <c r="AC44" s="537">
        <f t="shared" si="40"/>
        <v>0</v>
      </c>
      <c r="AD44" s="547">
        <f t="shared" si="52"/>
        <v>0</v>
      </c>
      <c r="AE44" s="530">
        <v>0</v>
      </c>
      <c r="AF44" s="547">
        <v>0</v>
      </c>
      <c r="AG44" s="547">
        <v>0</v>
      </c>
      <c r="AH44" s="465">
        <v>0</v>
      </c>
    </row>
    <row r="45" spans="1:34">
      <c r="A45" s="3"/>
      <c r="B45" s="39" t="s">
        <v>59</v>
      </c>
      <c r="C45" s="94">
        <v>300</v>
      </c>
      <c r="D45" s="94">
        <v>220</v>
      </c>
      <c r="E45" s="94">
        <v>0</v>
      </c>
      <c r="F45" s="362">
        <v>0</v>
      </c>
      <c r="G45" s="102">
        <v>0</v>
      </c>
      <c r="H45" s="642">
        <v>0</v>
      </c>
      <c r="I45" s="642">
        <v>0</v>
      </c>
      <c r="J45" s="173">
        <v>0</v>
      </c>
      <c r="K45" s="245">
        <f t="shared" si="57"/>
        <v>0</v>
      </c>
      <c r="L45" s="362">
        <f t="shared" si="57"/>
        <v>0</v>
      </c>
      <c r="M45" s="173">
        <v>0</v>
      </c>
      <c r="N45" s="547">
        <v>0</v>
      </c>
      <c r="O45" s="547">
        <v>0</v>
      </c>
      <c r="P45" s="173">
        <v>0</v>
      </c>
      <c r="Q45" s="245">
        <f t="shared" ref="Q45:R47" si="58">T45-N45</f>
        <v>0</v>
      </c>
      <c r="R45" s="362">
        <f t="shared" si="58"/>
        <v>0</v>
      </c>
      <c r="S45" s="173">
        <v>0</v>
      </c>
      <c r="T45" s="547">
        <v>0</v>
      </c>
      <c r="U45" s="547">
        <v>0</v>
      </c>
      <c r="V45" s="570">
        <v>0</v>
      </c>
      <c r="W45" s="245">
        <f t="shared" si="56"/>
        <v>0</v>
      </c>
      <c r="X45" s="362">
        <f t="shared" si="56"/>
        <v>0</v>
      </c>
      <c r="Y45" s="464">
        <v>0</v>
      </c>
      <c r="Z45" s="642">
        <v>0</v>
      </c>
      <c r="AA45" s="642">
        <v>0</v>
      </c>
      <c r="AB45" s="464">
        <v>0</v>
      </c>
      <c r="AC45" s="537">
        <f t="shared" si="40"/>
        <v>0</v>
      </c>
      <c r="AD45" s="547">
        <f t="shared" si="52"/>
        <v>0</v>
      </c>
      <c r="AE45" s="530">
        <v>0</v>
      </c>
      <c r="AF45" s="547">
        <v>0</v>
      </c>
      <c r="AG45" s="547">
        <v>0</v>
      </c>
      <c r="AH45" s="464">
        <v>0</v>
      </c>
    </row>
    <row r="46" spans="1:34">
      <c r="A46" s="3"/>
      <c r="B46" s="39" t="s">
        <v>156</v>
      </c>
      <c r="C46" s="94">
        <v>595</v>
      </c>
      <c r="D46" s="94">
        <v>10</v>
      </c>
      <c r="E46" s="94">
        <v>0</v>
      </c>
      <c r="F46" s="362">
        <v>0</v>
      </c>
      <c r="G46" s="102">
        <v>0</v>
      </c>
      <c r="H46" s="642">
        <v>0</v>
      </c>
      <c r="I46" s="642">
        <v>0</v>
      </c>
      <c r="J46" s="173">
        <v>0</v>
      </c>
      <c r="K46" s="245">
        <f t="shared" si="57"/>
        <v>0</v>
      </c>
      <c r="L46" s="362">
        <f t="shared" si="57"/>
        <v>0</v>
      </c>
      <c r="M46" s="173">
        <v>0</v>
      </c>
      <c r="N46" s="547">
        <v>0</v>
      </c>
      <c r="O46" s="547">
        <v>0</v>
      </c>
      <c r="P46" s="173">
        <v>0</v>
      </c>
      <c r="Q46" s="245">
        <f t="shared" si="58"/>
        <v>0</v>
      </c>
      <c r="R46" s="362">
        <f t="shared" si="58"/>
        <v>0</v>
      </c>
      <c r="S46" s="173">
        <v>0</v>
      </c>
      <c r="T46" s="547">
        <v>0</v>
      </c>
      <c r="U46" s="547">
        <v>0</v>
      </c>
      <c r="V46" s="570">
        <v>0</v>
      </c>
      <c r="W46" s="245">
        <f t="shared" si="56"/>
        <v>0</v>
      </c>
      <c r="X46" s="362">
        <f t="shared" si="56"/>
        <v>0</v>
      </c>
      <c r="Y46" s="464">
        <v>0</v>
      </c>
      <c r="Z46" s="642">
        <v>0</v>
      </c>
      <c r="AA46" s="642">
        <v>0</v>
      </c>
      <c r="AB46" s="464">
        <v>0</v>
      </c>
      <c r="AC46" s="537">
        <f t="shared" si="40"/>
        <v>0</v>
      </c>
      <c r="AD46" s="547">
        <f t="shared" si="52"/>
        <v>0</v>
      </c>
      <c r="AE46" s="530">
        <v>0</v>
      </c>
      <c r="AF46" s="547">
        <v>0</v>
      </c>
      <c r="AG46" s="547">
        <v>0</v>
      </c>
      <c r="AH46" s="464">
        <v>0</v>
      </c>
    </row>
    <row r="47" spans="1:34">
      <c r="A47" s="3"/>
      <c r="B47" s="39" t="s">
        <v>175</v>
      </c>
      <c r="C47" s="94">
        <v>1014</v>
      </c>
      <c r="D47" s="94">
        <v>0</v>
      </c>
      <c r="E47" s="94">
        <v>0</v>
      </c>
      <c r="F47" s="362">
        <v>0</v>
      </c>
      <c r="G47" s="102">
        <v>0</v>
      </c>
      <c r="H47" s="642">
        <v>0</v>
      </c>
      <c r="I47" s="642">
        <v>0</v>
      </c>
      <c r="J47" s="173">
        <v>0</v>
      </c>
      <c r="K47" s="245">
        <f t="shared" si="57"/>
        <v>0</v>
      </c>
      <c r="L47" s="362">
        <f t="shared" si="57"/>
        <v>0</v>
      </c>
      <c r="M47" s="173">
        <v>0</v>
      </c>
      <c r="N47" s="547">
        <v>0</v>
      </c>
      <c r="O47" s="547">
        <v>0</v>
      </c>
      <c r="P47" s="173">
        <v>0</v>
      </c>
      <c r="Q47" s="245">
        <f t="shared" si="58"/>
        <v>0</v>
      </c>
      <c r="R47" s="362">
        <f t="shared" si="58"/>
        <v>0</v>
      </c>
      <c r="S47" s="173">
        <v>0</v>
      </c>
      <c r="T47" s="547">
        <v>0</v>
      </c>
      <c r="U47" s="547">
        <v>0</v>
      </c>
      <c r="V47" s="570">
        <v>0</v>
      </c>
      <c r="W47" s="245">
        <f t="shared" si="56"/>
        <v>0</v>
      </c>
      <c r="X47" s="362">
        <f t="shared" si="56"/>
        <v>0</v>
      </c>
      <c r="Y47" s="464">
        <v>0</v>
      </c>
      <c r="Z47" s="642">
        <v>0</v>
      </c>
      <c r="AA47" s="642">
        <v>0</v>
      </c>
      <c r="AB47" s="464">
        <v>0</v>
      </c>
      <c r="AC47" s="245">
        <f t="shared" ref="AC47" si="59">AF47-Z47</f>
        <v>0</v>
      </c>
      <c r="AD47" s="547">
        <f t="shared" si="52"/>
        <v>0</v>
      </c>
      <c r="AE47" s="530">
        <v>0</v>
      </c>
      <c r="AF47" s="547">
        <v>0</v>
      </c>
      <c r="AG47" s="547">
        <v>0</v>
      </c>
      <c r="AH47" s="464">
        <v>0</v>
      </c>
    </row>
    <row r="48" spans="1:34">
      <c r="A48" s="3"/>
      <c r="B48" s="39" t="s">
        <v>18</v>
      </c>
      <c r="C48" s="94">
        <f t="shared" ref="C48:G48" si="60">C49-SUM(C33:C47)</f>
        <v>1604</v>
      </c>
      <c r="D48" s="94">
        <f t="shared" si="60"/>
        <v>314</v>
      </c>
      <c r="E48" s="94">
        <f t="shared" si="60"/>
        <v>83</v>
      </c>
      <c r="F48" s="103">
        <f t="shared" si="60"/>
        <v>40</v>
      </c>
      <c r="G48" s="332">
        <f t="shared" si="60"/>
        <v>43</v>
      </c>
      <c r="H48" s="643">
        <f t="shared" ref="H48:I48" si="61">H49-SUM(H33:H47)</f>
        <v>0</v>
      </c>
      <c r="I48" s="643">
        <f t="shared" si="61"/>
        <v>0</v>
      </c>
      <c r="J48" s="543">
        <v>0</v>
      </c>
      <c r="K48" s="386">
        <f>K49-SUM(K33:K47)</f>
        <v>0</v>
      </c>
      <c r="L48" s="386">
        <f>L49-SUM(L33:L47)</f>
        <v>0</v>
      </c>
      <c r="M48" s="466">
        <v>0</v>
      </c>
      <c r="N48" s="574">
        <f>N49-SUM(N33:N47)</f>
        <v>0</v>
      </c>
      <c r="O48" s="574">
        <f>O49-SUM(O33:O47)</f>
        <v>0</v>
      </c>
      <c r="P48" s="543">
        <v>0</v>
      </c>
      <c r="Q48" s="386">
        <f>Q49-SUM(Q33:Q47)</f>
        <v>0</v>
      </c>
      <c r="R48" s="386">
        <f>R49-SUM(R33:R47)</f>
        <v>0</v>
      </c>
      <c r="S48" s="543">
        <v>0</v>
      </c>
      <c r="T48" s="574">
        <f>T49-SUM(T33:T47)</f>
        <v>0</v>
      </c>
      <c r="U48" s="574">
        <f>U49-SUM(U33:U47)</f>
        <v>0</v>
      </c>
      <c r="V48" s="543">
        <v>0</v>
      </c>
      <c r="W48" s="386">
        <f>W49-SUM(W33:W47)</f>
        <v>0</v>
      </c>
      <c r="X48" s="386">
        <f>X49-SUM(X33:X47)</f>
        <v>17</v>
      </c>
      <c r="Y48" s="466">
        <v>0</v>
      </c>
      <c r="Z48" s="643">
        <f>Z49-SUM(Z33:Z47)</f>
        <v>0</v>
      </c>
      <c r="AA48" s="643">
        <f>AA49-SUM(AA33:AA47)</f>
        <v>17</v>
      </c>
      <c r="AB48" s="543">
        <v>0</v>
      </c>
      <c r="AC48" s="386">
        <f>AC49-SUM(AC33:AC47)</f>
        <v>0</v>
      </c>
      <c r="AD48" s="575">
        <f>AD49-SUM(AD33:AD47)</f>
        <v>0</v>
      </c>
      <c r="AE48" s="465">
        <v>0</v>
      </c>
      <c r="AF48" s="574">
        <f>AF49-SUM(AF33:AF47)</f>
        <v>0</v>
      </c>
      <c r="AG48" s="574">
        <f>AG49-SUM(AG33:AG47)</f>
        <v>17</v>
      </c>
      <c r="AH48" s="543">
        <v>0</v>
      </c>
    </row>
    <row r="49" spans="1:34">
      <c r="A49" s="8"/>
      <c r="B49" s="41" t="s">
        <v>101</v>
      </c>
      <c r="C49" s="96">
        <v>59139</v>
      </c>
      <c r="D49" s="96">
        <v>63550</v>
      </c>
      <c r="E49" s="95">
        <v>60914</v>
      </c>
      <c r="F49" s="363">
        <v>47837</v>
      </c>
      <c r="G49" s="326">
        <v>39665</v>
      </c>
      <c r="H49" s="644">
        <v>3791</v>
      </c>
      <c r="I49" s="644">
        <v>3520</v>
      </c>
      <c r="J49" s="246">
        <f>ROUND(((I49/H49-1)*100), 1)</f>
        <v>-7.1</v>
      </c>
      <c r="K49" s="378">
        <f>N49-H49</f>
        <v>3742</v>
      </c>
      <c r="L49" s="363">
        <f>O49-I49</f>
        <v>1791</v>
      </c>
      <c r="M49" s="246">
        <f>ROUND(((L49/K49-1)*100), 1)</f>
        <v>-52.1</v>
      </c>
      <c r="N49" s="548">
        <v>7533</v>
      </c>
      <c r="O49" s="548">
        <v>5311</v>
      </c>
      <c r="P49" s="246">
        <f>ROUND(((O49/N49-1)*100), 1)</f>
        <v>-29.5</v>
      </c>
      <c r="Q49" s="378">
        <f>T49-N49</f>
        <v>6518</v>
      </c>
      <c r="R49" s="363">
        <f>U49-O49</f>
        <v>4190</v>
      </c>
      <c r="S49" s="246">
        <f>ROUND(((R49/Q49-1)*100), 1)</f>
        <v>-35.700000000000003</v>
      </c>
      <c r="T49" s="548">
        <v>14051</v>
      </c>
      <c r="U49" s="548">
        <v>9501</v>
      </c>
      <c r="V49" s="246">
        <f>ROUND(((U49/T49-1)*100), 1)</f>
        <v>-32.4</v>
      </c>
      <c r="W49" s="378">
        <f>Z49-T49</f>
        <v>2527</v>
      </c>
      <c r="X49" s="363">
        <f>AA49-U49</f>
        <v>3254</v>
      </c>
      <c r="Y49" s="246">
        <f>ROUND(((X49/W49-1)*100), 1)</f>
        <v>28.8</v>
      </c>
      <c r="Z49" s="644">
        <v>16578</v>
      </c>
      <c r="AA49" s="644">
        <v>12755</v>
      </c>
      <c r="AB49" s="246">
        <f>ROUND(((AA49/Z49-1)*100), 1)</f>
        <v>-23.1</v>
      </c>
      <c r="AC49" s="378">
        <f>AF49-Z49</f>
        <v>2947</v>
      </c>
      <c r="AD49" s="363">
        <f>AG49-AA49</f>
        <v>2719</v>
      </c>
      <c r="AE49" s="246">
        <f>ROUND(((AD49/AC49-1)*100), 1)</f>
        <v>-7.7</v>
      </c>
      <c r="AF49" s="548">
        <v>19525</v>
      </c>
      <c r="AG49" s="548">
        <v>15474</v>
      </c>
      <c r="AH49" s="246">
        <f>ROUND(((AG49/AF49-1)*100), 1)</f>
        <v>-20.7</v>
      </c>
    </row>
    <row r="50" spans="1:34">
      <c r="A50" s="51" t="s">
        <v>111</v>
      </c>
      <c r="J50" s="240"/>
    </row>
    <row r="51" spans="1:34">
      <c r="J51" s="233"/>
    </row>
    <row r="52" spans="1:34">
      <c r="J52" s="240"/>
    </row>
    <row r="53" spans="1:34">
      <c r="J53" s="240"/>
    </row>
    <row r="54" spans="1:34">
      <c r="J54" s="240"/>
    </row>
    <row r="55" spans="1:34">
      <c r="J55" s="240"/>
    </row>
    <row r="56" spans="1:34">
      <c r="J56" s="240"/>
    </row>
    <row r="57" spans="1:34">
      <c r="J57" s="240"/>
    </row>
    <row r="58" spans="1:34">
      <c r="J58" s="240"/>
    </row>
    <row r="59" spans="1:34">
      <c r="J59" s="240"/>
    </row>
    <row r="60" spans="1:34">
      <c r="J60" s="240"/>
    </row>
    <row r="61" spans="1:34">
      <c r="J61" s="240"/>
    </row>
    <row r="62" spans="1:34">
      <c r="J62" s="240"/>
    </row>
    <row r="63" spans="1:34">
      <c r="J63" s="240"/>
    </row>
    <row r="64" spans="1:34">
      <c r="J64" s="240"/>
    </row>
  </sheetData>
  <sortState ref="B34:BX47">
    <sortCondition descending="1" ref="G34:G47"/>
  </sortState>
  <mergeCells count="15">
    <mergeCell ref="A3:B4"/>
    <mergeCell ref="AC3:AE3"/>
    <mergeCell ref="AF3:AH3"/>
    <mergeCell ref="C3:C4"/>
    <mergeCell ref="E3:E4"/>
    <mergeCell ref="H3:J3"/>
    <mergeCell ref="D3:D4"/>
    <mergeCell ref="F3:F4"/>
    <mergeCell ref="G3:G4"/>
    <mergeCell ref="K3:M3"/>
    <mergeCell ref="N3:P3"/>
    <mergeCell ref="W3:Y3"/>
    <mergeCell ref="Z3:AB3"/>
    <mergeCell ref="Q3:S3"/>
    <mergeCell ref="T3:V3"/>
  </mergeCells>
  <phoneticPr fontId="2" type="noConversion"/>
  <printOptions horizontalCentered="1"/>
  <pageMargins left="0.19685039370078741" right="0.19685039370078741" top="0.74803149606299213" bottom="0.37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46"/>
  <sheetViews>
    <sheetView zoomScaleNormal="100" workbookViewId="0">
      <pane xSplit="8" ySplit="4" topLeftCell="AD5" activePane="bottomRight" state="frozen"/>
      <selection pane="topRight" activeCell="I1" sqref="I1"/>
      <selection pane="bottomLeft" activeCell="A5" sqref="A5"/>
      <selection pane="bottomRight"/>
    </sheetView>
  </sheetViews>
  <sheetFormatPr defaultRowHeight="16.5"/>
  <cols>
    <col min="1" max="1" width="5.25" style="51" customWidth="1"/>
    <col min="2" max="2" width="9.125" style="51" customWidth="1"/>
    <col min="3" max="3" width="15.25" style="51" customWidth="1"/>
    <col min="4" max="5" width="11" style="59" hidden="1" customWidth="1"/>
    <col min="6" max="7" width="11" style="222" hidden="1" customWidth="1"/>
    <col min="8" max="8" width="11" style="595" customWidth="1"/>
    <col min="9" max="10" width="11" style="623" hidden="1" customWidth="1"/>
    <col min="11" max="11" width="9" hidden="1" customWidth="1"/>
    <col min="12" max="12" width="11" style="304" hidden="1" customWidth="1"/>
    <col min="13" max="13" width="11" style="595" hidden="1" customWidth="1"/>
    <col min="14" max="14" width="9" style="277" hidden="1" customWidth="1"/>
    <col min="15" max="16" width="11" style="595" hidden="1" customWidth="1"/>
    <col min="17" max="17" width="9" style="277" hidden="1" customWidth="1"/>
    <col min="18" max="19" width="11" style="595" hidden="1" customWidth="1"/>
    <col min="20" max="20" width="9" style="277" hidden="1" customWidth="1"/>
    <col min="21" max="22" width="11" style="595" hidden="1" customWidth="1"/>
    <col min="23" max="23" width="9" style="277" hidden="1" customWidth="1"/>
    <col min="24" max="24" width="11" style="304" hidden="1" customWidth="1"/>
    <col min="25" max="25" width="11" style="595" hidden="1" customWidth="1"/>
    <col min="26" max="26" width="9" style="277" hidden="1" customWidth="1"/>
    <col min="27" max="28" width="11" style="623" hidden="1" customWidth="1"/>
    <col min="29" max="29" width="9" style="277" hidden="1" customWidth="1"/>
    <col min="30" max="30" width="11" style="304" customWidth="1"/>
    <col min="31" max="31" width="11" style="595" customWidth="1"/>
    <col min="32" max="32" width="9" style="277" customWidth="1"/>
    <col min="33" max="34" width="11" style="595" customWidth="1"/>
    <col min="35" max="35" width="9" style="277" customWidth="1"/>
  </cols>
  <sheetData>
    <row r="1" spans="1:35">
      <c r="A1" s="77" t="s">
        <v>195</v>
      </c>
      <c r="B1" s="97"/>
      <c r="C1" s="97"/>
      <c r="D1" s="98"/>
      <c r="H1" s="267" t="s">
        <v>196</v>
      </c>
      <c r="I1" s="645"/>
      <c r="J1" s="645"/>
      <c r="K1" s="252"/>
      <c r="L1" s="98"/>
      <c r="M1" s="569"/>
      <c r="N1" s="264"/>
      <c r="O1" s="569"/>
      <c r="P1" s="569"/>
      <c r="Q1" s="264"/>
      <c r="R1" s="569"/>
      <c r="S1" s="569"/>
      <c r="T1" s="264"/>
      <c r="U1" s="569"/>
      <c r="V1" s="569"/>
      <c r="W1" s="264"/>
      <c r="X1" s="98"/>
      <c r="Y1" s="569"/>
      <c r="Z1" s="264"/>
      <c r="AA1" s="645"/>
      <c r="AB1" s="645"/>
      <c r="AC1" s="264"/>
      <c r="AD1" s="98"/>
      <c r="AE1" s="569"/>
      <c r="AF1" s="264"/>
      <c r="AG1" s="569"/>
      <c r="AH1" s="569"/>
      <c r="AI1" s="264"/>
    </row>
    <row r="2" spans="1:35">
      <c r="A2" s="26"/>
      <c r="B2" s="26"/>
      <c r="D2" s="71"/>
      <c r="E2" s="71"/>
      <c r="F2" s="266"/>
      <c r="G2" s="266"/>
      <c r="H2" s="567"/>
      <c r="I2" s="624"/>
      <c r="J2" s="624"/>
      <c r="K2" s="249" t="s">
        <v>87</v>
      </c>
      <c r="L2" s="266"/>
      <c r="M2" s="567"/>
      <c r="N2" s="262"/>
      <c r="O2" s="567"/>
      <c r="P2" s="567"/>
      <c r="Q2" s="262" t="s">
        <v>87</v>
      </c>
      <c r="R2" s="567"/>
      <c r="S2" s="567"/>
      <c r="T2" s="262"/>
      <c r="U2" s="567"/>
      <c r="V2" s="567"/>
      <c r="W2" s="262" t="s">
        <v>87</v>
      </c>
      <c r="X2" s="266"/>
      <c r="Y2" s="567"/>
      <c r="Z2" s="262"/>
      <c r="AA2" s="624"/>
      <c r="AB2" s="624"/>
      <c r="AC2" s="262" t="s">
        <v>87</v>
      </c>
      <c r="AD2" s="266"/>
      <c r="AE2" s="567"/>
      <c r="AF2" s="262"/>
      <c r="AG2" s="567"/>
      <c r="AH2" s="567"/>
      <c r="AI2" s="262" t="s">
        <v>87</v>
      </c>
    </row>
    <row r="3" spans="1:35" s="367" customFormat="1" ht="18" customHeight="1">
      <c r="A3" s="733" t="s">
        <v>88</v>
      </c>
      <c r="B3" s="733"/>
      <c r="C3" s="733"/>
      <c r="D3" s="855" t="s">
        <v>2</v>
      </c>
      <c r="E3" s="855" t="s">
        <v>550</v>
      </c>
      <c r="F3" s="855" t="s">
        <v>76</v>
      </c>
      <c r="G3" s="856" t="s">
        <v>294</v>
      </c>
      <c r="H3" s="856" t="s">
        <v>431</v>
      </c>
      <c r="I3" s="854" t="s">
        <v>33</v>
      </c>
      <c r="J3" s="855"/>
      <c r="K3" s="733"/>
      <c r="L3" s="852" t="s">
        <v>546</v>
      </c>
      <c r="M3" s="853"/>
      <c r="N3" s="733"/>
      <c r="O3" s="852" t="s">
        <v>547</v>
      </c>
      <c r="P3" s="853"/>
      <c r="Q3" s="733"/>
      <c r="R3" s="852" t="s">
        <v>548</v>
      </c>
      <c r="S3" s="853"/>
      <c r="T3" s="733"/>
      <c r="U3" s="852" t="s">
        <v>549</v>
      </c>
      <c r="V3" s="853"/>
      <c r="W3" s="733"/>
      <c r="X3" s="852" t="s">
        <v>484</v>
      </c>
      <c r="Y3" s="853"/>
      <c r="Z3" s="733"/>
      <c r="AA3" s="852" t="s">
        <v>486</v>
      </c>
      <c r="AB3" s="853"/>
      <c r="AC3" s="733"/>
      <c r="AD3" s="852" t="s">
        <v>551</v>
      </c>
      <c r="AE3" s="853"/>
      <c r="AF3" s="733"/>
      <c r="AG3" s="852" t="s">
        <v>552</v>
      </c>
      <c r="AH3" s="853"/>
      <c r="AI3" s="733"/>
    </row>
    <row r="4" spans="1:35" s="367" customFormat="1" ht="18" customHeight="1">
      <c r="A4" s="733"/>
      <c r="B4" s="758"/>
      <c r="C4" s="758"/>
      <c r="D4" s="856"/>
      <c r="E4" s="856"/>
      <c r="F4" s="856"/>
      <c r="G4" s="857"/>
      <c r="H4" s="857"/>
      <c r="I4" s="699" t="s">
        <v>431</v>
      </c>
      <c r="J4" s="650" t="s">
        <v>503</v>
      </c>
      <c r="K4" s="688" t="s">
        <v>5</v>
      </c>
      <c r="L4" s="687" t="s">
        <v>431</v>
      </c>
      <c r="M4" s="586" t="s">
        <v>503</v>
      </c>
      <c r="N4" s="688" t="s">
        <v>5</v>
      </c>
      <c r="O4" s="687" t="s">
        <v>431</v>
      </c>
      <c r="P4" s="586" t="s">
        <v>503</v>
      </c>
      <c r="Q4" s="688" t="s">
        <v>5</v>
      </c>
      <c r="R4" s="687" t="s">
        <v>431</v>
      </c>
      <c r="S4" s="586" t="s">
        <v>503</v>
      </c>
      <c r="T4" s="688" t="s">
        <v>5</v>
      </c>
      <c r="U4" s="687" t="s">
        <v>431</v>
      </c>
      <c r="V4" s="586" t="s">
        <v>503</v>
      </c>
      <c r="W4" s="688" t="s">
        <v>5</v>
      </c>
      <c r="X4" s="687" t="s">
        <v>431</v>
      </c>
      <c r="Y4" s="586" t="s">
        <v>503</v>
      </c>
      <c r="Z4" s="688" t="s">
        <v>5</v>
      </c>
      <c r="AA4" s="699" t="s">
        <v>431</v>
      </c>
      <c r="AB4" s="650" t="s">
        <v>503</v>
      </c>
      <c r="AC4" s="688" t="s">
        <v>5</v>
      </c>
      <c r="AD4" s="729" t="s">
        <v>431</v>
      </c>
      <c r="AE4" s="687" t="s">
        <v>503</v>
      </c>
      <c r="AF4" s="688" t="s">
        <v>5</v>
      </c>
      <c r="AG4" s="687" t="s">
        <v>431</v>
      </c>
      <c r="AH4" s="586" t="s">
        <v>503</v>
      </c>
      <c r="AI4" s="688" t="s">
        <v>5</v>
      </c>
    </row>
    <row r="5" spans="1:35" ht="13.5" customHeight="1">
      <c r="A5" s="89"/>
      <c r="B5" s="859" t="s">
        <v>313</v>
      </c>
      <c r="C5" s="99" t="s">
        <v>43</v>
      </c>
      <c r="D5" s="100">
        <v>608</v>
      </c>
      <c r="E5" s="100">
        <v>43</v>
      </c>
      <c r="F5" s="100">
        <v>7</v>
      </c>
      <c r="G5" s="100">
        <v>51</v>
      </c>
      <c r="H5" s="100">
        <v>1956</v>
      </c>
      <c r="I5" s="640">
        <v>0</v>
      </c>
      <c r="J5" s="640">
        <v>1</v>
      </c>
      <c r="K5" s="685">
        <v>0</v>
      </c>
      <c r="L5" s="387">
        <f t="shared" ref="L5:M10" si="0">O5-I5</f>
        <v>0</v>
      </c>
      <c r="M5" s="563">
        <f t="shared" si="0"/>
        <v>1</v>
      </c>
      <c r="N5" s="685">
        <v>0</v>
      </c>
      <c r="O5" s="546">
        <v>0</v>
      </c>
      <c r="P5" s="546">
        <v>2</v>
      </c>
      <c r="Q5" s="685">
        <v>0</v>
      </c>
      <c r="R5" s="563">
        <f t="shared" ref="R5:R10" si="1">U5-O5</f>
        <v>40</v>
      </c>
      <c r="S5" s="563">
        <f t="shared" ref="S5:S10" si="2">V5-P5</f>
        <v>2</v>
      </c>
      <c r="T5" s="541">
        <f>ROUND(((S5/R5-1)*100), 1)</f>
        <v>-95</v>
      </c>
      <c r="U5" s="546">
        <v>40</v>
      </c>
      <c r="V5" s="546">
        <v>4</v>
      </c>
      <c r="W5" s="541">
        <f>ROUND(((V5/U5-1)*100), 1)</f>
        <v>-90</v>
      </c>
      <c r="X5" s="387">
        <f t="shared" ref="X5:Y10" si="3">AA5-U5</f>
        <v>0</v>
      </c>
      <c r="Y5" s="563">
        <f t="shared" si="3"/>
        <v>0</v>
      </c>
      <c r="Z5" s="570">
        <v>0</v>
      </c>
      <c r="AA5" s="640">
        <v>40</v>
      </c>
      <c r="AB5" s="640">
        <v>4</v>
      </c>
      <c r="AC5" s="686">
        <f>ROUND(((AB5/AA5-1)*100), 1)</f>
        <v>-90</v>
      </c>
      <c r="AD5" s="536">
        <f t="shared" ref="AD5:AE10" si="4">AG5-AA5</f>
        <v>50</v>
      </c>
      <c r="AE5" s="563">
        <f t="shared" si="4"/>
        <v>1</v>
      </c>
      <c r="AF5" s="541">
        <f>ROUND(((AE5/AD5-1)*100), 1)</f>
        <v>-98</v>
      </c>
      <c r="AG5" s="546">
        <v>90</v>
      </c>
      <c r="AH5" s="546">
        <v>5</v>
      </c>
      <c r="AI5" s="542">
        <f>ROUND(((AH5/AG5-1)*100), 1)</f>
        <v>-94.4</v>
      </c>
    </row>
    <row r="6" spans="1:35" s="277" customFormat="1" ht="13.5" customHeight="1">
      <c r="A6" s="306"/>
      <c r="B6" s="862"/>
      <c r="C6" s="101" t="s">
        <v>47</v>
      </c>
      <c r="D6" s="94">
        <v>100</v>
      </c>
      <c r="E6" s="94">
        <v>552</v>
      </c>
      <c r="F6" s="94">
        <v>497</v>
      </c>
      <c r="G6" s="94">
        <v>458</v>
      </c>
      <c r="H6" s="94">
        <v>385</v>
      </c>
      <c r="I6" s="642">
        <v>38</v>
      </c>
      <c r="J6" s="642">
        <v>38</v>
      </c>
      <c r="K6" s="541">
        <f>ROUND(((J6/I6-1)*100), 1)</f>
        <v>0</v>
      </c>
      <c r="L6" s="564">
        <f t="shared" si="0"/>
        <v>39</v>
      </c>
      <c r="M6" s="564">
        <f t="shared" si="0"/>
        <v>39</v>
      </c>
      <c r="N6" s="541">
        <f>ROUND(((M6/L6-1)*100), 1)</f>
        <v>0</v>
      </c>
      <c r="O6" s="547">
        <v>77</v>
      </c>
      <c r="P6" s="547">
        <v>77</v>
      </c>
      <c r="Q6" s="541">
        <f>ROUND(((P6/O6-1)*100), 1)</f>
        <v>0</v>
      </c>
      <c r="R6" s="564">
        <f t="shared" si="1"/>
        <v>38</v>
      </c>
      <c r="S6" s="564">
        <f t="shared" si="2"/>
        <v>38</v>
      </c>
      <c r="T6" s="541">
        <f>ROUND(((S6/R6-1)*100), 1)</f>
        <v>0</v>
      </c>
      <c r="U6" s="547">
        <v>115</v>
      </c>
      <c r="V6" s="547">
        <v>115</v>
      </c>
      <c r="W6" s="541">
        <f>ROUND(((V6/U6-1)*100), 1)</f>
        <v>0</v>
      </c>
      <c r="X6" s="564">
        <f t="shared" si="3"/>
        <v>39</v>
      </c>
      <c r="Y6" s="564">
        <f t="shared" si="3"/>
        <v>39</v>
      </c>
      <c r="Z6" s="541">
        <f>ROUND(((Y6/X6-1)*100), 1)</f>
        <v>0</v>
      </c>
      <c r="AA6" s="642">
        <v>154</v>
      </c>
      <c r="AB6" s="642">
        <v>154</v>
      </c>
      <c r="AC6" s="541">
        <f>ROUND(((AB6/AA6-1)*100), 1)</f>
        <v>0</v>
      </c>
      <c r="AD6" s="537">
        <f t="shared" si="4"/>
        <v>0</v>
      </c>
      <c r="AE6" s="564">
        <f t="shared" si="4"/>
        <v>39</v>
      </c>
      <c r="AF6" s="570">
        <v>0</v>
      </c>
      <c r="AG6" s="547">
        <v>154</v>
      </c>
      <c r="AH6" s="547">
        <v>193</v>
      </c>
      <c r="AI6" s="541">
        <f>ROUND(((AH6/AG6-1)*100), 1)</f>
        <v>25.3</v>
      </c>
    </row>
    <row r="7" spans="1:35" ht="13.5" customHeight="1">
      <c r="A7" s="858" t="s">
        <v>197</v>
      </c>
      <c r="B7" s="860"/>
      <c r="C7" s="101" t="s">
        <v>44</v>
      </c>
      <c r="D7" s="94">
        <v>213</v>
      </c>
      <c r="E7" s="94">
        <v>370</v>
      </c>
      <c r="F7" s="94">
        <v>10</v>
      </c>
      <c r="G7" s="94">
        <v>2</v>
      </c>
      <c r="H7" s="94">
        <v>194</v>
      </c>
      <c r="I7" s="642">
        <v>23</v>
      </c>
      <c r="J7" s="642">
        <v>81</v>
      </c>
      <c r="K7" s="541">
        <f>ROUND(((J7/I7-1)*100), 1)</f>
        <v>252.2</v>
      </c>
      <c r="L7" s="564">
        <f t="shared" si="0"/>
        <v>0</v>
      </c>
      <c r="M7" s="564">
        <f t="shared" si="0"/>
        <v>60</v>
      </c>
      <c r="N7" s="570">
        <v>0</v>
      </c>
      <c r="O7" s="547">
        <v>23</v>
      </c>
      <c r="P7" s="547">
        <v>141</v>
      </c>
      <c r="Q7" s="541">
        <f>ROUND(((P7/O7-1)*100), 1)</f>
        <v>513</v>
      </c>
      <c r="R7" s="564">
        <f t="shared" si="1"/>
        <v>0</v>
      </c>
      <c r="S7" s="564">
        <f t="shared" si="2"/>
        <v>0</v>
      </c>
      <c r="T7" s="570">
        <v>0</v>
      </c>
      <c r="U7" s="547">
        <v>23</v>
      </c>
      <c r="V7" s="547">
        <v>141</v>
      </c>
      <c r="W7" s="541">
        <f t="shared" ref="W7:W8" si="5">ROUND(((V7/U7-1)*100), 1)</f>
        <v>513</v>
      </c>
      <c r="X7" s="564">
        <f t="shared" si="3"/>
        <v>25</v>
      </c>
      <c r="Y7" s="564">
        <f t="shared" si="3"/>
        <v>6</v>
      </c>
      <c r="Z7" s="541">
        <f>ROUND(((Y7/X7-1)*100), 1)</f>
        <v>-76</v>
      </c>
      <c r="AA7" s="642">
        <v>48</v>
      </c>
      <c r="AB7" s="642">
        <v>147</v>
      </c>
      <c r="AC7" s="541">
        <f>ROUND(((AB7/AA7-1)*100), 1)</f>
        <v>206.3</v>
      </c>
      <c r="AD7" s="537">
        <f t="shared" si="4"/>
        <v>25</v>
      </c>
      <c r="AE7" s="564">
        <f t="shared" si="4"/>
        <v>48</v>
      </c>
      <c r="AF7" s="541">
        <f>ROUND(((AE7/AD7-1)*100), 1)</f>
        <v>92</v>
      </c>
      <c r="AG7" s="547">
        <v>73</v>
      </c>
      <c r="AH7" s="547">
        <v>195</v>
      </c>
      <c r="AI7" s="541">
        <f>ROUND(((AH7/AG7-1)*100), 1)</f>
        <v>167.1</v>
      </c>
    </row>
    <row r="8" spans="1:35" ht="13.5" customHeight="1">
      <c r="A8" s="858"/>
      <c r="B8" s="860"/>
      <c r="C8" s="101" t="s">
        <v>46</v>
      </c>
      <c r="D8" s="94">
        <v>38</v>
      </c>
      <c r="E8" s="94">
        <v>3</v>
      </c>
      <c r="F8" s="94">
        <v>7</v>
      </c>
      <c r="G8" s="94">
        <v>5</v>
      </c>
      <c r="H8" s="94">
        <v>5</v>
      </c>
      <c r="I8" s="642">
        <v>5</v>
      </c>
      <c r="J8" s="642">
        <v>0</v>
      </c>
      <c r="K8" s="570">
        <v>0</v>
      </c>
      <c r="L8" s="564">
        <f t="shared" si="0"/>
        <v>0</v>
      </c>
      <c r="M8" s="564">
        <f t="shared" si="0"/>
        <v>0</v>
      </c>
      <c r="N8" s="570">
        <v>0</v>
      </c>
      <c r="O8" s="547">
        <v>5</v>
      </c>
      <c r="P8" s="547">
        <v>0</v>
      </c>
      <c r="Q8" s="570">
        <v>0</v>
      </c>
      <c r="R8" s="564">
        <f t="shared" si="1"/>
        <v>0</v>
      </c>
      <c r="S8" s="564">
        <f t="shared" si="2"/>
        <v>0</v>
      </c>
      <c r="T8" s="570">
        <v>0</v>
      </c>
      <c r="U8" s="547">
        <v>5</v>
      </c>
      <c r="V8" s="547">
        <v>0</v>
      </c>
      <c r="W8" s="541">
        <f t="shared" si="5"/>
        <v>-100</v>
      </c>
      <c r="X8" s="564">
        <f t="shared" si="3"/>
        <v>0</v>
      </c>
      <c r="Y8" s="564">
        <f t="shared" si="3"/>
        <v>0</v>
      </c>
      <c r="Z8" s="570">
        <v>0</v>
      </c>
      <c r="AA8" s="642">
        <v>5</v>
      </c>
      <c r="AB8" s="642">
        <v>0</v>
      </c>
      <c r="AC8" s="570">
        <v>0</v>
      </c>
      <c r="AD8" s="537">
        <f t="shared" si="4"/>
        <v>0</v>
      </c>
      <c r="AE8" s="564">
        <f t="shared" si="4"/>
        <v>0</v>
      </c>
      <c r="AF8" s="570">
        <v>0</v>
      </c>
      <c r="AG8" s="547">
        <v>5</v>
      </c>
      <c r="AH8" s="547">
        <v>0</v>
      </c>
      <c r="AI8" s="570">
        <v>0</v>
      </c>
    </row>
    <row r="9" spans="1:35" ht="13.5" customHeight="1">
      <c r="A9" s="92"/>
      <c r="B9" s="860"/>
      <c r="C9" s="101" t="s">
        <v>302</v>
      </c>
      <c r="D9" s="94">
        <v>0</v>
      </c>
      <c r="E9" s="94">
        <v>0</v>
      </c>
      <c r="F9" s="94">
        <v>199</v>
      </c>
      <c r="G9" s="94">
        <v>0</v>
      </c>
      <c r="H9" s="94">
        <v>0</v>
      </c>
      <c r="I9" s="642">
        <v>0</v>
      </c>
      <c r="J9" s="642">
        <v>0</v>
      </c>
      <c r="K9" s="570">
        <v>0</v>
      </c>
      <c r="L9" s="564">
        <f t="shared" si="0"/>
        <v>0</v>
      </c>
      <c r="M9" s="564">
        <f t="shared" si="0"/>
        <v>0</v>
      </c>
      <c r="N9" s="570">
        <v>0</v>
      </c>
      <c r="O9" s="547">
        <v>0</v>
      </c>
      <c r="P9" s="547">
        <v>0</v>
      </c>
      <c r="Q9" s="570">
        <v>0</v>
      </c>
      <c r="R9" s="564">
        <f t="shared" si="1"/>
        <v>0</v>
      </c>
      <c r="S9" s="564">
        <f t="shared" si="2"/>
        <v>0</v>
      </c>
      <c r="T9" s="570">
        <v>0</v>
      </c>
      <c r="U9" s="547">
        <v>0</v>
      </c>
      <c r="V9" s="547">
        <v>0</v>
      </c>
      <c r="W9" s="570">
        <v>0</v>
      </c>
      <c r="X9" s="564">
        <f t="shared" si="3"/>
        <v>0</v>
      </c>
      <c r="Y9" s="564">
        <f t="shared" si="3"/>
        <v>0</v>
      </c>
      <c r="Z9" s="570">
        <v>0</v>
      </c>
      <c r="AA9" s="642">
        <v>0</v>
      </c>
      <c r="AB9" s="642">
        <v>0</v>
      </c>
      <c r="AC9" s="570">
        <v>0</v>
      </c>
      <c r="AD9" s="537">
        <f t="shared" si="4"/>
        <v>0</v>
      </c>
      <c r="AE9" s="564">
        <f t="shared" si="4"/>
        <v>0</v>
      </c>
      <c r="AF9" s="570">
        <v>0</v>
      </c>
      <c r="AG9" s="547">
        <v>0</v>
      </c>
      <c r="AH9" s="547">
        <v>0</v>
      </c>
      <c r="AI9" s="570">
        <v>0</v>
      </c>
    </row>
    <row r="10" spans="1:35" ht="13.5" customHeight="1">
      <c r="A10" s="92"/>
      <c r="B10" s="860"/>
      <c r="C10" s="101" t="s">
        <v>94</v>
      </c>
      <c r="D10" s="94">
        <v>1</v>
      </c>
      <c r="E10" s="94">
        <v>42</v>
      </c>
      <c r="F10" s="94">
        <v>19</v>
      </c>
      <c r="G10" s="94">
        <v>3</v>
      </c>
      <c r="H10" s="94">
        <v>0</v>
      </c>
      <c r="I10" s="642">
        <v>0</v>
      </c>
      <c r="J10" s="642">
        <v>0</v>
      </c>
      <c r="K10" s="570">
        <v>0</v>
      </c>
      <c r="L10" s="564">
        <f t="shared" si="0"/>
        <v>0</v>
      </c>
      <c r="M10" s="564">
        <f t="shared" si="0"/>
        <v>0</v>
      </c>
      <c r="N10" s="570">
        <v>0</v>
      </c>
      <c r="O10" s="547">
        <v>0</v>
      </c>
      <c r="P10" s="547">
        <v>0</v>
      </c>
      <c r="Q10" s="570">
        <v>0</v>
      </c>
      <c r="R10" s="564">
        <f t="shared" si="1"/>
        <v>0</v>
      </c>
      <c r="S10" s="564">
        <f t="shared" si="2"/>
        <v>0</v>
      </c>
      <c r="T10" s="570">
        <v>0</v>
      </c>
      <c r="U10" s="547">
        <v>0</v>
      </c>
      <c r="V10" s="547">
        <v>0</v>
      </c>
      <c r="W10" s="570">
        <v>0</v>
      </c>
      <c r="X10" s="564">
        <f t="shared" si="3"/>
        <v>0</v>
      </c>
      <c r="Y10" s="564">
        <f t="shared" si="3"/>
        <v>0</v>
      </c>
      <c r="Z10" s="570">
        <v>0</v>
      </c>
      <c r="AA10" s="642">
        <v>0</v>
      </c>
      <c r="AB10" s="642">
        <v>0</v>
      </c>
      <c r="AC10" s="570">
        <v>0</v>
      </c>
      <c r="AD10" s="537">
        <f t="shared" si="4"/>
        <v>0</v>
      </c>
      <c r="AE10" s="564">
        <f t="shared" si="4"/>
        <v>0</v>
      </c>
      <c r="AF10" s="464">
        <v>0</v>
      </c>
      <c r="AG10" s="547">
        <v>0</v>
      </c>
      <c r="AH10" s="547">
        <v>0</v>
      </c>
      <c r="AI10" s="570">
        <v>0</v>
      </c>
    </row>
    <row r="11" spans="1:35" ht="13.5" customHeight="1">
      <c r="A11" s="92"/>
      <c r="B11" s="860"/>
      <c r="C11" s="101" t="s">
        <v>18</v>
      </c>
      <c r="D11" s="94">
        <f t="shared" ref="D11:G11" si="6">D12-SUM(D5:D10)</f>
        <v>108</v>
      </c>
      <c r="E11" s="94">
        <f t="shared" si="6"/>
        <v>43</v>
      </c>
      <c r="F11" s="94">
        <f t="shared" si="6"/>
        <v>45</v>
      </c>
      <c r="G11" s="94">
        <f t="shared" si="6"/>
        <v>1</v>
      </c>
      <c r="H11" s="94">
        <f>H12-SUM(H5:H10)</f>
        <v>2</v>
      </c>
      <c r="I11" s="642">
        <f t="shared" ref="I11" si="7">I12-SUM(I5:I10)</f>
        <v>0</v>
      </c>
      <c r="J11" s="642">
        <f t="shared" ref="J11" si="8">J12-SUM(J5:J10)</f>
        <v>0</v>
      </c>
      <c r="K11" s="543">
        <v>0</v>
      </c>
      <c r="L11" s="388">
        <f>L12-SUM(L5:L10)</f>
        <v>0</v>
      </c>
      <c r="M11" s="547">
        <f t="shared" ref="M11" si="9">M12-SUM(M5:M10)</f>
        <v>0</v>
      </c>
      <c r="N11" s="466">
        <v>0</v>
      </c>
      <c r="O11" s="547">
        <f>O12-SUM(O5:O10)</f>
        <v>0</v>
      </c>
      <c r="P11" s="547">
        <f t="shared" ref="P11" si="10">P12-SUM(P5:P10)</f>
        <v>0</v>
      </c>
      <c r="Q11" s="543">
        <v>0</v>
      </c>
      <c r="R11" s="564">
        <f>R12-SUM(R5:R10)</f>
        <v>0</v>
      </c>
      <c r="S11" s="547">
        <f t="shared" ref="S11" si="11">S12-SUM(S5:S10)</f>
        <v>0</v>
      </c>
      <c r="T11" s="276">
        <v>0</v>
      </c>
      <c r="U11" s="547">
        <f>U12-SUM(U5:U10)</f>
        <v>0</v>
      </c>
      <c r="V11" s="547">
        <f t="shared" ref="V11" si="12">V12-SUM(V5:V10)</f>
        <v>0</v>
      </c>
      <c r="W11" s="543">
        <v>0</v>
      </c>
      <c r="X11" s="388">
        <f>X12-SUM(X5:X10)</f>
        <v>0</v>
      </c>
      <c r="Y11" s="547">
        <f t="shared" ref="Y11" si="13">Y12-SUM(Y5:Y10)</f>
        <v>0</v>
      </c>
      <c r="Z11" s="466">
        <v>0</v>
      </c>
      <c r="AA11" s="642">
        <f>AA12-SUM(AA5:AA10)</f>
        <v>0</v>
      </c>
      <c r="AB11" s="642">
        <f t="shared" ref="AB11" si="14">AB12-SUM(AB5:AB10)</f>
        <v>0</v>
      </c>
      <c r="AC11" s="543">
        <v>0</v>
      </c>
      <c r="AD11" s="537">
        <f>AD12-SUM(AD5:AD10)</f>
        <v>0</v>
      </c>
      <c r="AE11" s="564">
        <f>AE12-SUM(AE5:AE10)</f>
        <v>0</v>
      </c>
      <c r="AF11" s="466">
        <v>0</v>
      </c>
      <c r="AG11" s="547">
        <f>AG12-SUM(AG5:AG10)</f>
        <v>0</v>
      </c>
      <c r="AH11" s="547">
        <f t="shared" ref="AH11" si="15">AH12-SUM(AH5:AH10)</f>
        <v>0</v>
      </c>
      <c r="AI11" s="543">
        <v>0</v>
      </c>
    </row>
    <row r="12" spans="1:35" ht="13.5" customHeight="1">
      <c r="A12" s="92"/>
      <c r="B12" s="861"/>
      <c r="C12" s="41" t="s">
        <v>199</v>
      </c>
      <c r="D12" s="95">
        <v>1068</v>
      </c>
      <c r="E12" s="95">
        <v>1053</v>
      </c>
      <c r="F12" s="95">
        <v>784</v>
      </c>
      <c r="G12" s="95">
        <v>520</v>
      </c>
      <c r="H12" s="95">
        <v>2542</v>
      </c>
      <c r="I12" s="644">
        <v>66</v>
      </c>
      <c r="J12" s="644">
        <v>120</v>
      </c>
      <c r="K12" s="251">
        <f t="shared" ref="K12:K20" si="16">ROUND(((J12/I12-1)*100), 1)</f>
        <v>81.8</v>
      </c>
      <c r="L12" s="389">
        <f t="shared" ref="L12:M12" si="17">O12-I12</f>
        <v>39</v>
      </c>
      <c r="M12" s="555">
        <f t="shared" si="17"/>
        <v>100</v>
      </c>
      <c r="N12" s="259">
        <f t="shared" ref="N12" si="18">ROUND(((M12/L12-1)*100), 1)</f>
        <v>156.4</v>
      </c>
      <c r="O12" s="548">
        <v>105</v>
      </c>
      <c r="P12" s="701">
        <v>220</v>
      </c>
      <c r="Q12" s="259">
        <f t="shared" ref="Q12" si="19">ROUND(((P12/O12-1)*100), 1)</f>
        <v>109.5</v>
      </c>
      <c r="R12" s="555">
        <f t="shared" ref="R12" si="20">U12-O12</f>
        <v>78</v>
      </c>
      <c r="S12" s="555">
        <f t="shared" ref="S12" si="21">V12-P12</f>
        <v>40</v>
      </c>
      <c r="T12" s="259">
        <f t="shared" ref="T12" si="22">ROUND(((S12/R12-1)*100), 1)</f>
        <v>-48.7</v>
      </c>
      <c r="U12" s="548">
        <v>183</v>
      </c>
      <c r="V12" s="548">
        <v>260</v>
      </c>
      <c r="W12" s="259">
        <f t="shared" ref="W12" si="23">ROUND(((V12/U12-1)*100), 1)</f>
        <v>42.1</v>
      </c>
      <c r="X12" s="389">
        <f t="shared" ref="X12:Y25" si="24">AA12-U12</f>
        <v>64</v>
      </c>
      <c r="Y12" s="555">
        <f t="shared" si="24"/>
        <v>45</v>
      </c>
      <c r="Z12" s="259">
        <f t="shared" ref="Z12" si="25">ROUND(((Y12/X12-1)*100), 1)</f>
        <v>-29.7</v>
      </c>
      <c r="AA12" s="644">
        <v>247</v>
      </c>
      <c r="AB12" s="644">
        <v>305</v>
      </c>
      <c r="AC12" s="259">
        <f t="shared" ref="AC12" si="26">ROUND(((AB12/AA12-1)*100), 1)</f>
        <v>23.5</v>
      </c>
      <c r="AD12" s="534">
        <f t="shared" ref="AD12:AE12" si="27">AG12-AA12</f>
        <v>75</v>
      </c>
      <c r="AE12" s="555">
        <f t="shared" si="27"/>
        <v>88</v>
      </c>
      <c r="AF12" s="259">
        <f t="shared" ref="AF12" si="28">ROUND(((AE12/AD12-1)*100), 1)</f>
        <v>17.3</v>
      </c>
      <c r="AG12" s="548">
        <v>322</v>
      </c>
      <c r="AH12" s="548">
        <v>393</v>
      </c>
      <c r="AI12" s="259">
        <f t="shared" ref="AI12" si="29">ROUND(((AH12/AG12-1)*100), 1)</f>
        <v>22</v>
      </c>
    </row>
    <row r="13" spans="1:35" ht="13.5" customHeight="1">
      <c r="A13" s="92"/>
      <c r="B13" s="859" t="s">
        <v>275</v>
      </c>
      <c r="C13" s="99" t="s">
        <v>44</v>
      </c>
      <c r="D13" s="100">
        <v>8488</v>
      </c>
      <c r="E13" s="100">
        <v>19393</v>
      </c>
      <c r="F13" s="100">
        <v>29816</v>
      </c>
      <c r="G13" s="100">
        <v>44568</v>
      </c>
      <c r="H13" s="100">
        <v>52158</v>
      </c>
      <c r="I13" s="640">
        <v>3899</v>
      </c>
      <c r="J13" s="640">
        <v>4831</v>
      </c>
      <c r="K13" s="253">
        <f t="shared" si="16"/>
        <v>23.9</v>
      </c>
      <c r="L13" s="387">
        <f t="shared" ref="L13:M17" si="30">O13-I13</f>
        <v>5446</v>
      </c>
      <c r="M13" s="563">
        <f t="shared" si="30"/>
        <v>4537</v>
      </c>
      <c r="N13" s="253">
        <f>ROUND(((M13/L13-1)*100), 1)</f>
        <v>-16.7</v>
      </c>
      <c r="O13" s="546">
        <v>9345</v>
      </c>
      <c r="P13" s="546">
        <v>9368</v>
      </c>
      <c r="Q13" s="253">
        <f>ROUND(((P13/O13-1)*100), 1)</f>
        <v>0.2</v>
      </c>
      <c r="R13" s="563">
        <f t="shared" ref="R13:S14" si="31">U13-O13</f>
        <v>5213</v>
      </c>
      <c r="S13" s="563">
        <f t="shared" si="31"/>
        <v>5006</v>
      </c>
      <c r="T13" s="253">
        <f>ROUND(((S13/R13-1)*100), 1)</f>
        <v>-4</v>
      </c>
      <c r="U13" s="546">
        <v>14558</v>
      </c>
      <c r="V13" s="546">
        <v>14374</v>
      </c>
      <c r="W13" s="253">
        <f>ROUND(((V13/U13-1)*100), 1)</f>
        <v>-1.3</v>
      </c>
      <c r="X13" s="387">
        <f>AA13-U13</f>
        <v>2662</v>
      </c>
      <c r="Y13" s="563">
        <f t="shared" si="24"/>
        <v>5517</v>
      </c>
      <c r="Z13" s="253">
        <f>ROUND(((Y13/X13-1)*100), 1)</f>
        <v>107.3</v>
      </c>
      <c r="AA13" s="640">
        <v>17220</v>
      </c>
      <c r="AB13" s="640">
        <v>19891</v>
      </c>
      <c r="AC13" s="253">
        <f>ROUND(((AB13/AA13-1)*100), 1)</f>
        <v>15.5</v>
      </c>
      <c r="AD13" s="536">
        <f t="shared" ref="AD13:AE15" si="32">AG13-AA13</f>
        <v>3093</v>
      </c>
      <c r="AE13" s="563">
        <f t="shared" si="32"/>
        <v>4586</v>
      </c>
      <c r="AF13" s="253">
        <f>ROUND(((AE13/AD13-1)*100), 1)</f>
        <v>48.3</v>
      </c>
      <c r="AG13" s="536">
        <v>20313</v>
      </c>
      <c r="AH13" s="546">
        <v>24477</v>
      </c>
      <c r="AI13" s="253">
        <f>ROUND(((AH13/AG13-1)*100), 1)</f>
        <v>20.5</v>
      </c>
    </row>
    <row r="14" spans="1:35" ht="13.5" customHeight="1">
      <c r="A14" s="92"/>
      <c r="B14" s="860"/>
      <c r="C14" s="101" t="s">
        <v>46</v>
      </c>
      <c r="D14" s="94">
        <v>14549</v>
      </c>
      <c r="E14" s="94">
        <v>9848</v>
      </c>
      <c r="F14" s="94">
        <v>20172</v>
      </c>
      <c r="G14" s="94">
        <v>17661</v>
      </c>
      <c r="H14" s="94">
        <v>12884</v>
      </c>
      <c r="I14" s="642">
        <v>710</v>
      </c>
      <c r="J14" s="642">
        <v>1913</v>
      </c>
      <c r="K14" s="250">
        <f t="shared" si="16"/>
        <v>169.4</v>
      </c>
      <c r="L14" s="388">
        <f t="shared" si="30"/>
        <v>805</v>
      </c>
      <c r="M14" s="564">
        <f t="shared" si="30"/>
        <v>2015</v>
      </c>
      <c r="N14" s="250">
        <f>ROUND(((M14/L14-1)*100), 1)</f>
        <v>150.30000000000001</v>
      </c>
      <c r="O14" s="547">
        <v>1515</v>
      </c>
      <c r="P14" s="547">
        <v>3928</v>
      </c>
      <c r="Q14" s="250">
        <f>ROUND(((P14/O14-1)*100), 1)</f>
        <v>159.30000000000001</v>
      </c>
      <c r="R14" s="564">
        <f t="shared" si="31"/>
        <v>1093</v>
      </c>
      <c r="S14" s="564">
        <f t="shared" si="31"/>
        <v>1917</v>
      </c>
      <c r="T14" s="250">
        <f>ROUND(((S14/R14-1)*100), 1)</f>
        <v>75.400000000000006</v>
      </c>
      <c r="U14" s="547">
        <v>2608</v>
      </c>
      <c r="V14" s="547">
        <v>5845</v>
      </c>
      <c r="W14" s="250">
        <f>ROUND(((V14/U14-1)*100), 1)</f>
        <v>124.1</v>
      </c>
      <c r="X14" s="388">
        <f>AA14-U14</f>
        <v>202</v>
      </c>
      <c r="Y14" s="564">
        <f t="shared" si="24"/>
        <v>1611</v>
      </c>
      <c r="Z14" s="250">
        <f>ROUND(((Y14/X14-1)*100), 1)</f>
        <v>697.5</v>
      </c>
      <c r="AA14" s="642">
        <v>2810</v>
      </c>
      <c r="AB14" s="642">
        <v>7456</v>
      </c>
      <c r="AC14" s="250">
        <f>ROUND(((AB14/AA14-1)*100), 1)</f>
        <v>165.3</v>
      </c>
      <c r="AD14" s="537">
        <f t="shared" si="32"/>
        <v>628</v>
      </c>
      <c r="AE14" s="564">
        <f t="shared" si="32"/>
        <v>1432</v>
      </c>
      <c r="AF14" s="250">
        <f>ROUND(((AE14/AD14-1)*100), 1)</f>
        <v>128</v>
      </c>
      <c r="AG14" s="537">
        <v>3438</v>
      </c>
      <c r="AH14" s="547">
        <v>8888</v>
      </c>
      <c r="AI14" s="250">
        <f>ROUND(((AH14/AG14-1)*100), 1)</f>
        <v>158.5</v>
      </c>
    </row>
    <row r="15" spans="1:35" ht="13.5" customHeight="1">
      <c r="A15" s="92"/>
      <c r="B15" s="860"/>
      <c r="C15" s="101" t="s">
        <v>125</v>
      </c>
      <c r="D15" s="94">
        <v>0</v>
      </c>
      <c r="E15" s="94">
        <v>0</v>
      </c>
      <c r="F15" s="94">
        <v>4330</v>
      </c>
      <c r="G15" s="94">
        <v>9813</v>
      </c>
      <c r="H15" s="94">
        <v>6052</v>
      </c>
      <c r="I15" s="642">
        <v>489</v>
      </c>
      <c r="J15" s="642">
        <v>0</v>
      </c>
      <c r="K15" s="255">
        <f t="shared" si="16"/>
        <v>-100</v>
      </c>
      <c r="L15" s="388">
        <f t="shared" si="30"/>
        <v>962</v>
      </c>
      <c r="M15" s="564">
        <f t="shared" si="30"/>
        <v>0</v>
      </c>
      <c r="N15" s="255">
        <f>ROUND(((M15/L15-1)*100), 1)</f>
        <v>-100</v>
      </c>
      <c r="O15" s="547">
        <v>1451</v>
      </c>
      <c r="P15" s="547">
        <v>0</v>
      </c>
      <c r="Q15" s="255">
        <f>ROUND(((P15/O15-1)*100), 1)</f>
        <v>-100</v>
      </c>
      <c r="R15" s="564">
        <f t="shared" ref="R15:R24" si="33">U15-O15</f>
        <v>504</v>
      </c>
      <c r="S15" s="564">
        <f t="shared" ref="S15:S24" si="34">V15-P15</f>
        <v>0</v>
      </c>
      <c r="T15" s="540">
        <f t="shared" ref="T15:T20" si="35">ROUND(((S15/R15-1)*100), 1)</f>
        <v>-100</v>
      </c>
      <c r="U15" s="547">
        <v>1955</v>
      </c>
      <c r="V15" s="547">
        <v>0</v>
      </c>
      <c r="W15" s="255">
        <f>ROUND(((V15/U15-1)*100), 1)</f>
        <v>-100</v>
      </c>
      <c r="X15" s="388">
        <f>AA15-U15</f>
        <v>243</v>
      </c>
      <c r="Y15" s="564">
        <f t="shared" si="24"/>
        <v>0</v>
      </c>
      <c r="Z15" s="255">
        <f>ROUND(((Y15/X15-1)*100), 1)</f>
        <v>-100</v>
      </c>
      <c r="AA15" s="642">
        <v>2198</v>
      </c>
      <c r="AB15" s="642">
        <v>0</v>
      </c>
      <c r="AC15" s="255">
        <f>ROUND(((AB15/AA15-1)*100), 1)</f>
        <v>-100</v>
      </c>
      <c r="AD15" s="537">
        <f t="shared" si="32"/>
        <v>509</v>
      </c>
      <c r="AE15" s="564">
        <f t="shared" si="32"/>
        <v>0</v>
      </c>
      <c r="AF15" s="255">
        <f>ROUND(((AE15/AD15-1)*100), 1)</f>
        <v>-100</v>
      </c>
      <c r="AG15" s="537">
        <v>2707</v>
      </c>
      <c r="AH15" s="547">
        <v>0</v>
      </c>
      <c r="AI15" s="255">
        <f>ROUND(((AH15/AG15-1)*100), 1)</f>
        <v>-100</v>
      </c>
    </row>
    <row r="16" spans="1:35" ht="13.5" customHeight="1">
      <c r="A16" s="92"/>
      <c r="B16" s="860"/>
      <c r="C16" s="101" t="s">
        <v>118</v>
      </c>
      <c r="D16" s="94">
        <v>1129</v>
      </c>
      <c r="E16" s="94">
        <v>3379</v>
      </c>
      <c r="F16" s="94">
        <v>12783</v>
      </c>
      <c r="G16" s="94">
        <v>11936</v>
      </c>
      <c r="H16" s="94">
        <v>1216</v>
      </c>
      <c r="I16" s="642">
        <v>91</v>
      </c>
      <c r="J16" s="642">
        <v>293</v>
      </c>
      <c r="K16" s="250">
        <f t="shared" si="16"/>
        <v>222</v>
      </c>
      <c r="L16" s="388">
        <f t="shared" si="30"/>
        <v>111</v>
      </c>
      <c r="M16" s="564">
        <f t="shared" si="30"/>
        <v>292</v>
      </c>
      <c r="N16" s="250">
        <f>ROUND(((M16/L16-1)*100), 1)</f>
        <v>163.1</v>
      </c>
      <c r="O16" s="547">
        <v>202</v>
      </c>
      <c r="P16" s="547">
        <v>585</v>
      </c>
      <c r="Q16" s="250">
        <f>ROUND(((P16/O16-1)*100), 1)</f>
        <v>189.6</v>
      </c>
      <c r="R16" s="564">
        <f t="shared" si="33"/>
        <v>91</v>
      </c>
      <c r="S16" s="564">
        <f t="shared" si="34"/>
        <v>2479</v>
      </c>
      <c r="T16" s="540">
        <f t="shared" si="35"/>
        <v>2624.2</v>
      </c>
      <c r="U16" s="547">
        <v>293</v>
      </c>
      <c r="V16" s="547">
        <v>3064</v>
      </c>
      <c r="W16" s="250">
        <f>ROUND(((V16/U16-1)*100), 1)</f>
        <v>945.7</v>
      </c>
      <c r="X16" s="564">
        <f t="shared" ref="X16:X23" si="36">AA16-U16</f>
        <v>0</v>
      </c>
      <c r="Y16" s="564">
        <f t="shared" ref="Y16:Y23" si="37">AB16-V16</f>
        <v>292</v>
      </c>
      <c r="Z16" s="570">
        <v>0</v>
      </c>
      <c r="AA16" s="642">
        <v>293</v>
      </c>
      <c r="AB16" s="642">
        <v>3356</v>
      </c>
      <c r="AC16" s="250">
        <f>ROUND(((AB16/AA16-1)*100), 1)</f>
        <v>1045.4000000000001</v>
      </c>
      <c r="AD16" s="537">
        <f t="shared" ref="AD16:AE24" si="38">AG16-AA16</f>
        <v>0</v>
      </c>
      <c r="AE16" s="564">
        <f t="shared" si="38"/>
        <v>293</v>
      </c>
      <c r="AF16" s="570">
        <v>0</v>
      </c>
      <c r="AG16" s="537">
        <v>293</v>
      </c>
      <c r="AH16" s="547">
        <v>3649</v>
      </c>
      <c r="AI16" s="250">
        <f>ROUND(((AH16/AG16-1)*100), 1)</f>
        <v>1145.4000000000001</v>
      </c>
    </row>
    <row r="17" spans="1:35" ht="13.5" customHeight="1">
      <c r="A17" s="92"/>
      <c r="B17" s="860"/>
      <c r="C17" s="101" t="s">
        <v>119</v>
      </c>
      <c r="D17" s="94">
        <v>62</v>
      </c>
      <c r="E17" s="94">
        <v>0</v>
      </c>
      <c r="F17" s="94">
        <v>10385</v>
      </c>
      <c r="G17" s="94">
        <v>14127</v>
      </c>
      <c r="H17" s="94">
        <v>1200</v>
      </c>
      <c r="I17" s="642">
        <v>0</v>
      </c>
      <c r="J17" s="642">
        <v>0</v>
      </c>
      <c r="K17" s="570">
        <v>0</v>
      </c>
      <c r="L17" s="388">
        <f t="shared" si="30"/>
        <v>598</v>
      </c>
      <c r="M17" s="564">
        <f t="shared" si="30"/>
        <v>0</v>
      </c>
      <c r="N17" s="255">
        <f>ROUND(((M17/L17-1)*100), 1)</f>
        <v>-100</v>
      </c>
      <c r="O17" s="547">
        <v>598</v>
      </c>
      <c r="P17" s="547">
        <v>0</v>
      </c>
      <c r="Q17" s="255">
        <f>ROUND(((P17/O17-1)*100), 1)</f>
        <v>-100</v>
      </c>
      <c r="R17" s="564">
        <f t="shared" si="33"/>
        <v>602</v>
      </c>
      <c r="S17" s="564">
        <f t="shared" si="34"/>
        <v>2496</v>
      </c>
      <c r="T17" s="540">
        <f t="shared" si="35"/>
        <v>314.60000000000002</v>
      </c>
      <c r="U17" s="547">
        <v>1200</v>
      </c>
      <c r="V17" s="547">
        <v>2496</v>
      </c>
      <c r="W17" s="255">
        <f>ROUND(((V17/U17-1)*100), 1)</f>
        <v>108</v>
      </c>
      <c r="X17" s="564">
        <f t="shared" si="36"/>
        <v>0</v>
      </c>
      <c r="Y17" s="564">
        <f t="shared" si="37"/>
        <v>269</v>
      </c>
      <c r="Z17" s="570">
        <v>0</v>
      </c>
      <c r="AA17" s="642">
        <v>1200</v>
      </c>
      <c r="AB17" s="642">
        <v>2765</v>
      </c>
      <c r="AC17" s="540">
        <f t="shared" ref="AC17:AC22" si="39">ROUND(((AB17/AA17-1)*100), 1)</f>
        <v>130.4</v>
      </c>
      <c r="AD17" s="537">
        <f t="shared" si="38"/>
        <v>0</v>
      </c>
      <c r="AE17" s="564">
        <f t="shared" si="38"/>
        <v>761</v>
      </c>
      <c r="AF17" s="570">
        <v>0</v>
      </c>
      <c r="AG17" s="537">
        <v>1200</v>
      </c>
      <c r="AH17" s="547">
        <v>3526</v>
      </c>
      <c r="AI17" s="255">
        <f>ROUND(((AH17/AG17-1)*100), 1)</f>
        <v>193.8</v>
      </c>
    </row>
    <row r="18" spans="1:35" s="605" customFormat="1" ht="13.5" customHeight="1">
      <c r="A18" s="676"/>
      <c r="B18" s="860"/>
      <c r="C18" s="101" t="s">
        <v>527</v>
      </c>
      <c r="D18" s="94">
        <v>0</v>
      </c>
      <c r="E18" s="94">
        <v>0</v>
      </c>
      <c r="F18" s="94">
        <v>0</v>
      </c>
      <c r="G18" s="94">
        <v>0</v>
      </c>
      <c r="H18" s="94">
        <v>304</v>
      </c>
      <c r="I18" s="642">
        <v>0</v>
      </c>
      <c r="J18" s="642">
        <v>0</v>
      </c>
      <c r="K18" s="570">
        <v>0</v>
      </c>
      <c r="L18" s="564">
        <f t="shared" ref="L18:L25" si="40">O18-I18</f>
        <v>0</v>
      </c>
      <c r="M18" s="564">
        <f t="shared" ref="M18:M25" si="41">P18-J18</f>
        <v>0</v>
      </c>
      <c r="N18" s="570">
        <v>0</v>
      </c>
      <c r="O18" s="547">
        <v>0</v>
      </c>
      <c r="P18" s="547">
        <v>0</v>
      </c>
      <c r="Q18" s="570">
        <v>0</v>
      </c>
      <c r="R18" s="564">
        <f t="shared" si="33"/>
        <v>0</v>
      </c>
      <c r="S18" s="564">
        <f t="shared" si="34"/>
        <v>0</v>
      </c>
      <c r="T18" s="570">
        <v>0</v>
      </c>
      <c r="U18" s="547">
        <v>0</v>
      </c>
      <c r="V18" s="547">
        <v>0</v>
      </c>
      <c r="W18" s="570">
        <v>0</v>
      </c>
      <c r="X18" s="564">
        <f t="shared" si="36"/>
        <v>0</v>
      </c>
      <c r="Y18" s="564">
        <f t="shared" si="37"/>
        <v>23</v>
      </c>
      <c r="Z18" s="570">
        <v>0</v>
      </c>
      <c r="AA18" s="642">
        <v>0</v>
      </c>
      <c r="AB18" s="642">
        <v>23</v>
      </c>
      <c r="AC18" s="570">
        <v>0</v>
      </c>
      <c r="AD18" s="537">
        <f t="shared" si="38"/>
        <v>0</v>
      </c>
      <c r="AE18" s="564">
        <f t="shared" si="38"/>
        <v>0</v>
      </c>
      <c r="AF18" s="570">
        <v>0</v>
      </c>
      <c r="AG18" s="537">
        <v>0</v>
      </c>
      <c r="AH18" s="547">
        <v>23</v>
      </c>
      <c r="AI18" s="570">
        <v>0</v>
      </c>
    </row>
    <row r="19" spans="1:35" ht="13.5" customHeight="1">
      <c r="A19" s="92"/>
      <c r="B19" s="860"/>
      <c r="C19" s="101" t="s">
        <v>45</v>
      </c>
      <c r="D19" s="94">
        <v>0</v>
      </c>
      <c r="E19" s="94">
        <v>0</v>
      </c>
      <c r="F19" s="94">
        <v>641</v>
      </c>
      <c r="G19" s="94">
        <v>1783</v>
      </c>
      <c r="H19" s="94">
        <v>224</v>
      </c>
      <c r="I19" s="642">
        <v>25</v>
      </c>
      <c r="J19" s="642">
        <v>26</v>
      </c>
      <c r="K19" s="540">
        <f t="shared" si="16"/>
        <v>4</v>
      </c>
      <c r="L19" s="564">
        <f t="shared" si="40"/>
        <v>48</v>
      </c>
      <c r="M19" s="564">
        <f t="shared" si="41"/>
        <v>10</v>
      </c>
      <c r="N19" s="541">
        <f t="shared" ref="N19:N22" si="42">ROUND(((M19/L19-1)*100), 1)</f>
        <v>-79.2</v>
      </c>
      <c r="O19" s="547">
        <v>73</v>
      </c>
      <c r="P19" s="547">
        <v>36</v>
      </c>
      <c r="Q19" s="541">
        <f>ROUND(((P19/O19-1)*100), 1)</f>
        <v>-50.7</v>
      </c>
      <c r="R19" s="564">
        <f t="shared" si="33"/>
        <v>26</v>
      </c>
      <c r="S19" s="564">
        <f t="shared" si="34"/>
        <v>51</v>
      </c>
      <c r="T19" s="540">
        <f t="shared" si="35"/>
        <v>96.2</v>
      </c>
      <c r="U19" s="547">
        <v>99</v>
      </c>
      <c r="V19" s="547">
        <v>87</v>
      </c>
      <c r="W19" s="541">
        <f>ROUND(((V19/U19-1)*100), 1)</f>
        <v>-12.1</v>
      </c>
      <c r="X19" s="564">
        <f t="shared" si="36"/>
        <v>0</v>
      </c>
      <c r="Y19" s="564">
        <f t="shared" si="37"/>
        <v>25</v>
      </c>
      <c r="Z19" s="570">
        <v>0</v>
      </c>
      <c r="AA19" s="642">
        <v>99</v>
      </c>
      <c r="AB19" s="642">
        <v>112</v>
      </c>
      <c r="AC19" s="540">
        <f t="shared" si="39"/>
        <v>13.1</v>
      </c>
      <c r="AD19" s="537">
        <f t="shared" si="38"/>
        <v>0</v>
      </c>
      <c r="AE19" s="564">
        <f t="shared" si="38"/>
        <v>50</v>
      </c>
      <c r="AF19" s="570">
        <v>0</v>
      </c>
      <c r="AG19" s="537">
        <v>99</v>
      </c>
      <c r="AH19" s="547">
        <v>162</v>
      </c>
      <c r="AI19" s="541">
        <f t="shared" ref="AI19:AI23" si="43">ROUND(((AH19/AG19-1)*100), 1)</f>
        <v>63.6</v>
      </c>
    </row>
    <row r="20" spans="1:35" ht="13.5" customHeight="1">
      <c r="A20" s="92"/>
      <c r="B20" s="860"/>
      <c r="C20" s="101" t="s">
        <v>96</v>
      </c>
      <c r="D20" s="94">
        <v>0</v>
      </c>
      <c r="E20" s="94">
        <v>46</v>
      </c>
      <c r="F20" s="94">
        <v>940</v>
      </c>
      <c r="G20" s="94">
        <v>606</v>
      </c>
      <c r="H20" s="94">
        <v>185</v>
      </c>
      <c r="I20" s="642">
        <v>68</v>
      </c>
      <c r="J20" s="642">
        <v>0</v>
      </c>
      <c r="K20" s="540">
        <f t="shared" si="16"/>
        <v>-100</v>
      </c>
      <c r="L20" s="564">
        <f t="shared" si="40"/>
        <v>71</v>
      </c>
      <c r="M20" s="564">
        <f t="shared" si="41"/>
        <v>43</v>
      </c>
      <c r="N20" s="541">
        <f t="shared" si="42"/>
        <v>-39.4</v>
      </c>
      <c r="O20" s="547">
        <v>139</v>
      </c>
      <c r="P20" s="547">
        <v>43</v>
      </c>
      <c r="Q20" s="541">
        <f>ROUND(((P20/O20-1)*100), 1)</f>
        <v>-69.099999999999994</v>
      </c>
      <c r="R20" s="564">
        <f t="shared" si="33"/>
        <v>46</v>
      </c>
      <c r="S20" s="564">
        <f t="shared" si="34"/>
        <v>0</v>
      </c>
      <c r="T20" s="540">
        <f t="shared" si="35"/>
        <v>-100</v>
      </c>
      <c r="U20" s="547">
        <v>185</v>
      </c>
      <c r="V20" s="547">
        <v>43</v>
      </c>
      <c r="W20" s="255">
        <f>ROUND(((V20/U20-1)*100), 1)</f>
        <v>-76.8</v>
      </c>
      <c r="X20" s="564">
        <f t="shared" si="36"/>
        <v>0</v>
      </c>
      <c r="Y20" s="564">
        <f t="shared" si="37"/>
        <v>0</v>
      </c>
      <c r="Z20" s="570">
        <v>0</v>
      </c>
      <c r="AA20" s="642">
        <v>185</v>
      </c>
      <c r="AB20" s="642">
        <v>43</v>
      </c>
      <c r="AC20" s="540">
        <f t="shared" si="39"/>
        <v>-76.8</v>
      </c>
      <c r="AD20" s="537">
        <f t="shared" si="38"/>
        <v>0</v>
      </c>
      <c r="AE20" s="564">
        <f t="shared" si="38"/>
        <v>0</v>
      </c>
      <c r="AF20" s="570">
        <v>0</v>
      </c>
      <c r="AG20" s="537">
        <v>185</v>
      </c>
      <c r="AH20" s="547">
        <v>43</v>
      </c>
      <c r="AI20" s="541">
        <f t="shared" si="43"/>
        <v>-76.8</v>
      </c>
    </row>
    <row r="21" spans="1:35" s="605" customFormat="1" ht="13.5" customHeight="1">
      <c r="A21" s="676"/>
      <c r="B21" s="860"/>
      <c r="C21" s="101" t="s">
        <v>528</v>
      </c>
      <c r="D21" s="94">
        <v>0</v>
      </c>
      <c r="E21" s="94">
        <v>0</v>
      </c>
      <c r="F21" s="94">
        <v>206</v>
      </c>
      <c r="G21" s="94">
        <v>0</v>
      </c>
      <c r="H21" s="94">
        <v>161</v>
      </c>
      <c r="I21" s="642">
        <v>0</v>
      </c>
      <c r="J21" s="642">
        <v>0</v>
      </c>
      <c r="K21" s="570">
        <v>0</v>
      </c>
      <c r="L21" s="564">
        <f t="shared" si="40"/>
        <v>0</v>
      </c>
      <c r="M21" s="564">
        <f t="shared" si="41"/>
        <v>0</v>
      </c>
      <c r="N21" s="570">
        <v>0</v>
      </c>
      <c r="O21" s="547">
        <v>0</v>
      </c>
      <c r="P21" s="547">
        <v>0</v>
      </c>
      <c r="Q21" s="570">
        <v>0</v>
      </c>
      <c r="R21" s="564">
        <f t="shared" si="33"/>
        <v>0</v>
      </c>
      <c r="S21" s="564">
        <f t="shared" si="34"/>
        <v>215</v>
      </c>
      <c r="T21" s="570">
        <v>0</v>
      </c>
      <c r="U21" s="547">
        <v>0</v>
      </c>
      <c r="V21" s="547">
        <v>215</v>
      </c>
      <c r="W21" s="570">
        <v>0</v>
      </c>
      <c r="X21" s="564">
        <f t="shared" si="36"/>
        <v>0</v>
      </c>
      <c r="Y21" s="564">
        <f t="shared" si="37"/>
        <v>0</v>
      </c>
      <c r="Z21" s="570">
        <v>0</v>
      </c>
      <c r="AA21" s="642">
        <v>0</v>
      </c>
      <c r="AB21" s="642">
        <v>215</v>
      </c>
      <c r="AC21" s="570">
        <v>0</v>
      </c>
      <c r="AD21" s="537">
        <f t="shared" si="38"/>
        <v>0</v>
      </c>
      <c r="AE21" s="564">
        <f t="shared" si="38"/>
        <v>118</v>
      </c>
      <c r="AF21" s="570">
        <v>0</v>
      </c>
      <c r="AG21" s="537">
        <v>0</v>
      </c>
      <c r="AH21" s="547">
        <v>333</v>
      </c>
      <c r="AI21" s="570">
        <v>0</v>
      </c>
    </row>
    <row r="22" spans="1:35" s="605" customFormat="1" ht="13.5" customHeight="1">
      <c r="A22" s="676"/>
      <c r="B22" s="860"/>
      <c r="C22" s="101" t="s">
        <v>529</v>
      </c>
      <c r="D22" s="94">
        <v>0</v>
      </c>
      <c r="E22" s="94">
        <v>0</v>
      </c>
      <c r="F22" s="94">
        <v>0</v>
      </c>
      <c r="G22" s="94">
        <v>47</v>
      </c>
      <c r="H22" s="94">
        <v>90</v>
      </c>
      <c r="I22" s="642">
        <v>0</v>
      </c>
      <c r="J22" s="642">
        <v>0</v>
      </c>
      <c r="K22" s="570">
        <v>0</v>
      </c>
      <c r="L22" s="564">
        <f t="shared" si="40"/>
        <v>90</v>
      </c>
      <c r="M22" s="564">
        <f t="shared" si="41"/>
        <v>0</v>
      </c>
      <c r="N22" s="541">
        <f t="shared" si="42"/>
        <v>-100</v>
      </c>
      <c r="O22" s="547">
        <v>90</v>
      </c>
      <c r="P22" s="547">
        <v>0</v>
      </c>
      <c r="Q22" s="541">
        <f>ROUND(((P22/O22-1)*100), 1)</f>
        <v>-100</v>
      </c>
      <c r="R22" s="564">
        <f t="shared" si="33"/>
        <v>0</v>
      </c>
      <c r="S22" s="564">
        <f t="shared" si="34"/>
        <v>0</v>
      </c>
      <c r="T22" s="570">
        <v>0</v>
      </c>
      <c r="U22" s="547">
        <v>90</v>
      </c>
      <c r="V22" s="547">
        <v>0</v>
      </c>
      <c r="W22" s="541">
        <f>ROUND(((V22/U22-1)*100), 1)</f>
        <v>-100</v>
      </c>
      <c r="X22" s="564">
        <f t="shared" si="36"/>
        <v>0</v>
      </c>
      <c r="Y22" s="564">
        <f t="shared" si="37"/>
        <v>0</v>
      </c>
      <c r="Z22" s="570">
        <v>0</v>
      </c>
      <c r="AA22" s="642">
        <v>90</v>
      </c>
      <c r="AB22" s="642">
        <v>0</v>
      </c>
      <c r="AC22" s="540">
        <f t="shared" si="39"/>
        <v>-100</v>
      </c>
      <c r="AD22" s="537">
        <f t="shared" si="38"/>
        <v>0</v>
      </c>
      <c r="AE22" s="564">
        <f t="shared" si="38"/>
        <v>0</v>
      </c>
      <c r="AF22" s="570">
        <v>0</v>
      </c>
      <c r="AG22" s="537">
        <v>90</v>
      </c>
      <c r="AH22" s="547">
        <v>0</v>
      </c>
      <c r="AI22" s="541">
        <f t="shared" si="43"/>
        <v>-100</v>
      </c>
    </row>
    <row r="23" spans="1:35" ht="13.5" customHeight="1">
      <c r="A23" s="92"/>
      <c r="B23" s="860"/>
      <c r="C23" s="101" t="s">
        <v>100</v>
      </c>
      <c r="D23" s="94">
        <v>366</v>
      </c>
      <c r="E23" s="94">
        <v>1</v>
      </c>
      <c r="F23" s="94">
        <v>1304</v>
      </c>
      <c r="G23" s="94">
        <v>216</v>
      </c>
      <c r="H23" s="94">
        <v>13</v>
      </c>
      <c r="I23" s="642">
        <v>0</v>
      </c>
      <c r="J23" s="642">
        <v>0</v>
      </c>
      <c r="K23" s="570">
        <v>0</v>
      </c>
      <c r="L23" s="564">
        <f t="shared" si="40"/>
        <v>0</v>
      </c>
      <c r="M23" s="564">
        <f t="shared" si="41"/>
        <v>0</v>
      </c>
      <c r="N23" s="570">
        <v>0</v>
      </c>
      <c r="O23" s="547">
        <v>0</v>
      </c>
      <c r="P23" s="547">
        <v>0</v>
      </c>
      <c r="Q23" s="570">
        <v>0</v>
      </c>
      <c r="R23" s="564">
        <f t="shared" si="33"/>
        <v>0</v>
      </c>
      <c r="S23" s="564">
        <f t="shared" si="34"/>
        <v>0</v>
      </c>
      <c r="T23" s="570">
        <v>0</v>
      </c>
      <c r="U23" s="547">
        <v>0</v>
      </c>
      <c r="V23" s="547">
        <v>0</v>
      </c>
      <c r="W23" s="570">
        <v>0</v>
      </c>
      <c r="X23" s="564">
        <f t="shared" si="36"/>
        <v>0</v>
      </c>
      <c r="Y23" s="564">
        <f t="shared" si="37"/>
        <v>3</v>
      </c>
      <c r="Z23" s="570">
        <v>0</v>
      </c>
      <c r="AA23" s="642">
        <v>0</v>
      </c>
      <c r="AB23" s="642">
        <v>3</v>
      </c>
      <c r="AC23" s="570">
        <v>0</v>
      </c>
      <c r="AD23" s="537">
        <f t="shared" si="38"/>
        <v>10</v>
      </c>
      <c r="AE23" s="564">
        <f t="shared" si="38"/>
        <v>0</v>
      </c>
      <c r="AF23" s="541">
        <f t="shared" ref="AF23" si="44">ROUND(((AE23/AD23-1)*100), 1)</f>
        <v>-100</v>
      </c>
      <c r="AG23" s="537">
        <v>10</v>
      </c>
      <c r="AH23" s="547">
        <v>3</v>
      </c>
      <c r="AI23" s="541">
        <f t="shared" si="43"/>
        <v>-70</v>
      </c>
    </row>
    <row r="24" spans="1:35" ht="13.5" customHeight="1">
      <c r="A24" s="92"/>
      <c r="B24" s="860"/>
      <c r="C24" s="101" t="s">
        <v>121</v>
      </c>
      <c r="D24" s="94">
        <v>21</v>
      </c>
      <c r="E24" s="94">
        <v>146</v>
      </c>
      <c r="F24" s="94">
        <v>3275</v>
      </c>
      <c r="G24" s="94">
        <v>1997</v>
      </c>
      <c r="H24" s="94">
        <v>0</v>
      </c>
      <c r="I24" s="642">
        <v>0</v>
      </c>
      <c r="J24" s="642">
        <v>0</v>
      </c>
      <c r="K24" s="570">
        <v>0</v>
      </c>
      <c r="L24" s="564">
        <f t="shared" si="40"/>
        <v>0</v>
      </c>
      <c r="M24" s="564">
        <f t="shared" si="41"/>
        <v>0</v>
      </c>
      <c r="N24" s="570">
        <v>0</v>
      </c>
      <c r="O24" s="547">
        <v>0</v>
      </c>
      <c r="P24" s="547">
        <v>0</v>
      </c>
      <c r="Q24" s="570">
        <v>0</v>
      </c>
      <c r="R24" s="564">
        <f t="shared" si="33"/>
        <v>0</v>
      </c>
      <c r="S24" s="564">
        <f t="shared" si="34"/>
        <v>0</v>
      </c>
      <c r="T24" s="570">
        <v>0</v>
      </c>
      <c r="U24" s="547">
        <v>0</v>
      </c>
      <c r="V24" s="547">
        <v>0</v>
      </c>
      <c r="W24" s="570">
        <v>0</v>
      </c>
      <c r="X24" s="388">
        <f>AA24-U24</f>
        <v>0</v>
      </c>
      <c r="Y24" s="564">
        <f t="shared" si="24"/>
        <v>0</v>
      </c>
      <c r="Z24" s="570">
        <v>0</v>
      </c>
      <c r="AA24" s="642">
        <v>0</v>
      </c>
      <c r="AB24" s="642">
        <v>0</v>
      </c>
      <c r="AC24" s="570">
        <v>0</v>
      </c>
      <c r="AD24" s="537">
        <f t="shared" si="38"/>
        <v>0</v>
      </c>
      <c r="AE24" s="564">
        <f t="shared" si="38"/>
        <v>0</v>
      </c>
      <c r="AF24" s="570">
        <v>0</v>
      </c>
      <c r="AG24" s="537">
        <v>0</v>
      </c>
      <c r="AH24" s="547">
        <v>0</v>
      </c>
      <c r="AI24" s="570">
        <v>0</v>
      </c>
    </row>
    <row r="25" spans="1:35" ht="13.5" customHeight="1">
      <c r="A25" s="92"/>
      <c r="B25" s="860"/>
      <c r="C25" s="101" t="s">
        <v>303</v>
      </c>
      <c r="D25" s="94">
        <v>0</v>
      </c>
      <c r="E25" s="94">
        <v>1</v>
      </c>
      <c r="F25" s="94">
        <v>371</v>
      </c>
      <c r="G25" s="94">
        <v>1871</v>
      </c>
      <c r="H25" s="94">
        <v>0</v>
      </c>
      <c r="I25" s="642">
        <v>0</v>
      </c>
      <c r="J25" s="642">
        <v>0</v>
      </c>
      <c r="K25" s="570">
        <v>0</v>
      </c>
      <c r="L25" s="564">
        <f t="shared" si="40"/>
        <v>0</v>
      </c>
      <c r="M25" s="564">
        <f t="shared" si="41"/>
        <v>0</v>
      </c>
      <c r="N25" s="570">
        <v>0</v>
      </c>
      <c r="O25" s="547">
        <v>0</v>
      </c>
      <c r="P25" s="547">
        <v>0</v>
      </c>
      <c r="Q25" s="570">
        <v>0</v>
      </c>
      <c r="R25" s="564">
        <f t="shared" ref="R25" si="45">U25-O25</f>
        <v>0</v>
      </c>
      <c r="S25" s="564">
        <f t="shared" ref="S25" si="46">V25-P25</f>
        <v>49</v>
      </c>
      <c r="T25" s="570">
        <v>0</v>
      </c>
      <c r="U25" s="547">
        <v>0</v>
      </c>
      <c r="V25" s="547">
        <v>49</v>
      </c>
      <c r="W25" s="570">
        <v>0</v>
      </c>
      <c r="X25" s="388">
        <f>AA25-U25</f>
        <v>0</v>
      </c>
      <c r="Y25" s="564">
        <f t="shared" si="24"/>
        <v>0</v>
      </c>
      <c r="Z25" s="570">
        <v>0</v>
      </c>
      <c r="AA25" s="642">
        <v>0</v>
      </c>
      <c r="AB25" s="642">
        <v>49</v>
      </c>
      <c r="AC25" s="570">
        <v>0</v>
      </c>
      <c r="AD25" s="537">
        <f>AG25-AA25</f>
        <v>0</v>
      </c>
      <c r="AE25" s="564">
        <f>AH25-AB25</f>
        <v>98</v>
      </c>
      <c r="AF25" s="570">
        <v>0</v>
      </c>
      <c r="AG25" s="537">
        <v>0</v>
      </c>
      <c r="AH25" s="547">
        <v>147</v>
      </c>
      <c r="AI25" s="570">
        <v>0</v>
      </c>
    </row>
    <row r="26" spans="1:35" s="277" customFormat="1" ht="13.5" customHeight="1">
      <c r="A26" s="306"/>
      <c r="B26" s="860"/>
      <c r="C26" s="101" t="s">
        <v>200</v>
      </c>
      <c r="D26" s="94">
        <v>0</v>
      </c>
      <c r="E26" s="94">
        <v>0</v>
      </c>
      <c r="F26" s="94">
        <v>6042</v>
      </c>
      <c r="G26" s="94">
        <v>1378</v>
      </c>
      <c r="H26" s="94">
        <v>0</v>
      </c>
      <c r="I26" s="642">
        <v>0</v>
      </c>
      <c r="J26" s="642">
        <v>0</v>
      </c>
      <c r="K26" s="570">
        <v>0</v>
      </c>
      <c r="L26" s="388">
        <f>O26-I26</f>
        <v>0</v>
      </c>
      <c r="M26" s="564">
        <f>P26-J26</f>
        <v>0</v>
      </c>
      <c r="N26" s="570">
        <v>0</v>
      </c>
      <c r="O26" s="547">
        <v>0</v>
      </c>
      <c r="P26" s="547">
        <v>0</v>
      </c>
      <c r="Q26" s="570">
        <v>0</v>
      </c>
      <c r="R26" s="564">
        <f>U26-O26</f>
        <v>0</v>
      </c>
      <c r="S26" s="564">
        <f>V26-P26</f>
        <v>0</v>
      </c>
      <c r="T26" s="570">
        <v>0</v>
      </c>
      <c r="U26" s="547">
        <v>0</v>
      </c>
      <c r="V26" s="547">
        <v>0</v>
      </c>
      <c r="W26" s="570">
        <v>0</v>
      </c>
      <c r="X26" s="388">
        <f>AA26-U26</f>
        <v>0</v>
      </c>
      <c r="Y26" s="564">
        <f>AB26-V26</f>
        <v>0</v>
      </c>
      <c r="Z26" s="570">
        <v>0</v>
      </c>
      <c r="AA26" s="642">
        <v>0</v>
      </c>
      <c r="AB26" s="642">
        <v>0</v>
      </c>
      <c r="AC26" s="570">
        <v>0</v>
      </c>
      <c r="AD26" s="537">
        <f>AG26-AA26</f>
        <v>0</v>
      </c>
      <c r="AE26" s="564">
        <f>AH26-AB26</f>
        <v>0</v>
      </c>
      <c r="AF26" s="570">
        <v>0</v>
      </c>
      <c r="AG26" s="537">
        <v>0</v>
      </c>
      <c r="AH26" s="547">
        <v>0</v>
      </c>
      <c r="AI26" s="570">
        <v>0</v>
      </c>
    </row>
    <row r="27" spans="1:35" ht="13.5" customHeight="1">
      <c r="A27" s="92"/>
      <c r="B27" s="860"/>
      <c r="C27" s="101" t="s">
        <v>18</v>
      </c>
      <c r="D27" s="94">
        <f t="shared" ref="D27:J27" si="47">D28-SUM(D13:D26)</f>
        <v>3399</v>
      </c>
      <c r="E27" s="94">
        <f t="shared" si="47"/>
        <v>141</v>
      </c>
      <c r="F27" s="94">
        <f t="shared" si="47"/>
        <v>1819</v>
      </c>
      <c r="G27" s="94">
        <f t="shared" si="47"/>
        <v>144</v>
      </c>
      <c r="H27" s="94">
        <f t="shared" si="47"/>
        <v>36</v>
      </c>
      <c r="I27" s="642">
        <f t="shared" si="47"/>
        <v>19</v>
      </c>
      <c r="J27" s="642">
        <f t="shared" si="47"/>
        <v>0</v>
      </c>
      <c r="K27" s="255">
        <f t="shared" ref="K27:K46" si="48">ROUND(((J27/I27-1)*100), 1)</f>
        <v>-100</v>
      </c>
      <c r="L27" s="388">
        <f>L28-SUM(L13:L26)</f>
        <v>1</v>
      </c>
      <c r="M27" s="564">
        <f>M28-SUM(M13:M26)</f>
        <v>0</v>
      </c>
      <c r="N27" s="541">
        <f>ROUND(((M27/L27-1)*100), 1)</f>
        <v>-100</v>
      </c>
      <c r="O27" s="547">
        <f>O28-SUM(O13:O26)</f>
        <v>20</v>
      </c>
      <c r="P27" s="547">
        <f>P28-SUM(P13:P26)</f>
        <v>0</v>
      </c>
      <c r="Q27" s="255">
        <f>ROUND(((P27/O27-1)*100), 1)</f>
        <v>-100</v>
      </c>
      <c r="R27" s="564">
        <f>R28-SUM(R13:R26)</f>
        <v>0</v>
      </c>
      <c r="S27" s="564">
        <f>S28-SUM(S13:S26)</f>
        <v>22</v>
      </c>
      <c r="T27" s="543">
        <v>0</v>
      </c>
      <c r="U27" s="547">
        <f>U28-SUM(U13:U26)</f>
        <v>20</v>
      </c>
      <c r="V27" s="547">
        <f>V28-SUM(V13:V26)</f>
        <v>22</v>
      </c>
      <c r="W27" s="255">
        <f>ROUND(((V27/U27-1)*100), 1)</f>
        <v>10</v>
      </c>
      <c r="X27" s="388">
        <f>X28-SUM(X13:X26)</f>
        <v>0</v>
      </c>
      <c r="Y27" s="564">
        <f>Y28-SUM(Y13:Y26)</f>
        <v>46</v>
      </c>
      <c r="Z27" s="466">
        <v>0</v>
      </c>
      <c r="AA27" s="642">
        <f>AA28-SUM(AA13:AA26)</f>
        <v>20</v>
      </c>
      <c r="AB27" s="642">
        <f>AB28-SUM(AB13:AB26)</f>
        <v>68</v>
      </c>
      <c r="AC27" s="255">
        <f>ROUND(((AB27/AA27-1)*100), 1)</f>
        <v>240</v>
      </c>
      <c r="AD27" s="537">
        <f>AD28-SUM(AD13:AD26)</f>
        <v>1</v>
      </c>
      <c r="AE27" s="564">
        <f>AE28-SUM(AE13:AE26)</f>
        <v>277</v>
      </c>
      <c r="AF27" s="541">
        <f>ROUND(((AE27/AD27-1)*100), 1)</f>
        <v>27600</v>
      </c>
      <c r="AG27" s="547">
        <f>AG28-SUM(AG13:AG26)</f>
        <v>21</v>
      </c>
      <c r="AH27" s="547">
        <f>AH28-SUM(AH13:AH26)</f>
        <v>345</v>
      </c>
      <c r="AI27" s="255">
        <f>ROUND(((AH27/AG27-1)*100), 1)</f>
        <v>1542.9</v>
      </c>
    </row>
    <row r="28" spans="1:35" ht="13.5" customHeight="1">
      <c r="A28" s="92"/>
      <c r="B28" s="861"/>
      <c r="C28" s="160" t="s">
        <v>272</v>
      </c>
      <c r="D28" s="95">
        <v>28014</v>
      </c>
      <c r="E28" s="95">
        <v>32955</v>
      </c>
      <c r="F28" s="95">
        <v>92084</v>
      </c>
      <c r="G28" s="95">
        <v>106147</v>
      </c>
      <c r="H28" s="95">
        <v>74523</v>
      </c>
      <c r="I28" s="644">
        <v>5301</v>
      </c>
      <c r="J28" s="644">
        <v>7063</v>
      </c>
      <c r="K28" s="251">
        <f t="shared" si="48"/>
        <v>33.200000000000003</v>
      </c>
      <c r="L28" s="389">
        <f t="shared" ref="L28:M28" si="49">O28-I28</f>
        <v>8132</v>
      </c>
      <c r="M28" s="555">
        <f t="shared" si="49"/>
        <v>6897</v>
      </c>
      <c r="N28" s="259">
        <f t="shared" ref="N28" si="50">ROUND(((M28/L28-1)*100), 1)</f>
        <v>-15.2</v>
      </c>
      <c r="O28" s="548">
        <v>13433</v>
      </c>
      <c r="P28" s="548">
        <v>13960</v>
      </c>
      <c r="Q28" s="259">
        <f t="shared" ref="Q28" si="51">ROUND(((P28/O28-1)*100), 1)</f>
        <v>3.9</v>
      </c>
      <c r="R28" s="555">
        <f t="shared" ref="R28:R31" si="52">U28-O28</f>
        <v>7575</v>
      </c>
      <c r="S28" s="555">
        <f t="shared" ref="S28:S31" si="53">V28-P28</f>
        <v>12235</v>
      </c>
      <c r="T28" s="259">
        <f t="shared" ref="T28" si="54">ROUND(((S28/R28-1)*100), 1)</f>
        <v>61.5</v>
      </c>
      <c r="U28" s="548">
        <v>21008</v>
      </c>
      <c r="V28" s="548">
        <v>26195</v>
      </c>
      <c r="W28" s="259">
        <f t="shared" ref="W28" si="55">ROUND(((V28/U28-1)*100), 1)</f>
        <v>24.7</v>
      </c>
      <c r="X28" s="389">
        <f t="shared" ref="X28:Y43" si="56">AA28-U28</f>
        <v>3107</v>
      </c>
      <c r="Y28" s="555">
        <f t="shared" si="56"/>
        <v>7786</v>
      </c>
      <c r="Z28" s="259">
        <f t="shared" ref="Z28" si="57">ROUND(((Y28/X28-1)*100), 1)</f>
        <v>150.6</v>
      </c>
      <c r="AA28" s="644">
        <v>24115</v>
      </c>
      <c r="AB28" s="644">
        <v>33981</v>
      </c>
      <c r="AC28" s="259">
        <f t="shared" ref="AC28" si="58">ROUND(((AB28/AA28-1)*100), 1)</f>
        <v>40.9</v>
      </c>
      <c r="AD28" s="534">
        <f t="shared" ref="AD28:AE28" si="59">AG28-AA28</f>
        <v>4241</v>
      </c>
      <c r="AE28" s="555">
        <f t="shared" si="59"/>
        <v>7615</v>
      </c>
      <c r="AF28" s="259">
        <f t="shared" ref="AF28" si="60">ROUND(((AE28/AD28-1)*100), 1)</f>
        <v>79.599999999999994</v>
      </c>
      <c r="AG28" s="548">
        <v>28356</v>
      </c>
      <c r="AH28" s="548">
        <v>41596</v>
      </c>
      <c r="AI28" s="259">
        <f t="shared" ref="AI28" si="61">ROUND(((AH28/AG28-1)*100), 1)</f>
        <v>46.7</v>
      </c>
    </row>
    <row r="29" spans="1:35" ht="13.5" customHeight="1">
      <c r="A29" s="92"/>
      <c r="B29" s="859" t="s">
        <v>276</v>
      </c>
      <c r="C29" s="99" t="s">
        <v>43</v>
      </c>
      <c r="D29" s="100">
        <v>1571</v>
      </c>
      <c r="E29" s="100">
        <v>4645</v>
      </c>
      <c r="F29" s="100">
        <v>6732</v>
      </c>
      <c r="G29" s="100">
        <v>14929</v>
      </c>
      <c r="H29" s="100">
        <v>115838</v>
      </c>
      <c r="I29" s="640">
        <v>7195</v>
      </c>
      <c r="J29" s="640">
        <v>4051</v>
      </c>
      <c r="K29" s="254">
        <f t="shared" si="48"/>
        <v>-43.7</v>
      </c>
      <c r="L29" s="387">
        <f t="shared" ref="L29:M41" si="62">O29-I29</f>
        <v>6832</v>
      </c>
      <c r="M29" s="546">
        <f t="shared" si="62"/>
        <v>3318</v>
      </c>
      <c r="N29" s="254">
        <f t="shared" ref="N29:N40" si="63">ROUND(((M29/L29-1)*100), 1)</f>
        <v>-51.4</v>
      </c>
      <c r="O29" s="546">
        <v>14027</v>
      </c>
      <c r="P29" s="546">
        <v>7369</v>
      </c>
      <c r="Q29" s="254">
        <f t="shared" ref="Q29:Q41" si="64">ROUND(((P29/O29-1)*100), 1)</f>
        <v>-47.5</v>
      </c>
      <c r="R29" s="563">
        <f t="shared" si="52"/>
        <v>5693</v>
      </c>
      <c r="S29" s="546">
        <f t="shared" si="53"/>
        <v>7702</v>
      </c>
      <c r="T29" s="254">
        <f t="shared" ref="T29:T31" si="65">ROUND(((S29/R29-1)*100), 1)</f>
        <v>35.299999999999997</v>
      </c>
      <c r="U29" s="546">
        <v>19720</v>
      </c>
      <c r="V29" s="546">
        <v>15071</v>
      </c>
      <c r="W29" s="254">
        <f t="shared" ref="W29:W37" si="66">ROUND(((V29/U29-1)*100), 1)</f>
        <v>-23.6</v>
      </c>
      <c r="X29" s="387">
        <f t="shared" ref="X29:X41" si="67">AA29-U29</f>
        <v>5811</v>
      </c>
      <c r="Y29" s="546">
        <f t="shared" si="56"/>
        <v>5878</v>
      </c>
      <c r="Z29" s="254">
        <f t="shared" ref="Z29:Z41" si="68">ROUND(((Y29/X29-1)*100), 1)</f>
        <v>1.2</v>
      </c>
      <c r="AA29" s="640">
        <v>25531</v>
      </c>
      <c r="AB29" s="640">
        <v>20949</v>
      </c>
      <c r="AC29" s="254">
        <f t="shared" ref="AC29:AC42" si="69">ROUND(((AB29/AA29-1)*100), 1)</f>
        <v>-17.899999999999999</v>
      </c>
      <c r="AD29" s="536">
        <f t="shared" ref="AD29:AE31" si="70">AG29-AA29</f>
        <v>14625</v>
      </c>
      <c r="AE29" s="563">
        <f t="shared" si="70"/>
        <v>8994</v>
      </c>
      <c r="AF29" s="254">
        <f t="shared" ref="AF29:AF31" si="71">ROUND(((AE29/AD29-1)*100), 1)</f>
        <v>-38.5</v>
      </c>
      <c r="AG29" s="536">
        <v>40156</v>
      </c>
      <c r="AH29" s="546">
        <v>29943</v>
      </c>
      <c r="AI29" s="254">
        <f t="shared" ref="AI29:AI43" si="72">ROUND(((AH29/AG29-1)*100), 1)</f>
        <v>-25.4</v>
      </c>
    </row>
    <row r="30" spans="1:35" ht="13.5" customHeight="1">
      <c r="A30" s="92"/>
      <c r="B30" s="860"/>
      <c r="C30" s="101" t="s">
        <v>44</v>
      </c>
      <c r="D30" s="94">
        <v>30531</v>
      </c>
      <c r="E30" s="94">
        <v>34646</v>
      </c>
      <c r="F30" s="94">
        <v>28580</v>
      </c>
      <c r="G30" s="94">
        <v>20722</v>
      </c>
      <c r="H30" s="94">
        <v>31161</v>
      </c>
      <c r="I30" s="642">
        <v>1801</v>
      </c>
      <c r="J30" s="642">
        <v>4677</v>
      </c>
      <c r="K30" s="541">
        <f t="shared" si="48"/>
        <v>159.69999999999999</v>
      </c>
      <c r="L30" s="564">
        <f t="shared" si="62"/>
        <v>2124</v>
      </c>
      <c r="M30" s="547">
        <f t="shared" si="62"/>
        <v>4523</v>
      </c>
      <c r="N30" s="541">
        <f t="shared" si="63"/>
        <v>112.9</v>
      </c>
      <c r="O30" s="547">
        <v>3925</v>
      </c>
      <c r="P30" s="547">
        <v>9200</v>
      </c>
      <c r="Q30" s="541">
        <f t="shared" si="64"/>
        <v>134.4</v>
      </c>
      <c r="R30" s="564">
        <f t="shared" si="52"/>
        <v>2557</v>
      </c>
      <c r="S30" s="547">
        <f t="shared" si="53"/>
        <v>3834</v>
      </c>
      <c r="T30" s="541">
        <f t="shared" si="65"/>
        <v>49.9</v>
      </c>
      <c r="U30" s="547">
        <v>6482</v>
      </c>
      <c r="V30" s="547">
        <v>13034</v>
      </c>
      <c r="W30" s="541">
        <f t="shared" si="66"/>
        <v>101.1</v>
      </c>
      <c r="X30" s="564">
        <f t="shared" si="67"/>
        <v>2008</v>
      </c>
      <c r="Y30" s="547">
        <f t="shared" si="56"/>
        <v>3289</v>
      </c>
      <c r="Z30" s="541">
        <f t="shared" si="68"/>
        <v>63.8</v>
      </c>
      <c r="AA30" s="642">
        <v>8490</v>
      </c>
      <c r="AB30" s="642">
        <v>16323</v>
      </c>
      <c r="AC30" s="541">
        <f t="shared" si="69"/>
        <v>92.3</v>
      </c>
      <c r="AD30" s="537">
        <f t="shared" si="70"/>
        <v>2414</v>
      </c>
      <c r="AE30" s="564">
        <f t="shared" si="70"/>
        <v>2973</v>
      </c>
      <c r="AF30" s="541">
        <f t="shared" si="71"/>
        <v>23.2</v>
      </c>
      <c r="AG30" s="537">
        <v>10904</v>
      </c>
      <c r="AH30" s="547">
        <v>19296</v>
      </c>
      <c r="AI30" s="541">
        <f t="shared" si="72"/>
        <v>77</v>
      </c>
    </row>
    <row r="31" spans="1:35" ht="13.5" customHeight="1">
      <c r="A31" s="92"/>
      <c r="B31" s="860"/>
      <c r="C31" s="101" t="s">
        <v>47</v>
      </c>
      <c r="D31" s="94">
        <v>7927</v>
      </c>
      <c r="E31" s="94">
        <v>24891</v>
      </c>
      <c r="F31" s="94">
        <v>27150</v>
      </c>
      <c r="G31" s="94">
        <v>11648</v>
      </c>
      <c r="H31" s="94">
        <v>14422</v>
      </c>
      <c r="I31" s="642">
        <v>2366</v>
      </c>
      <c r="J31" s="642">
        <v>2422</v>
      </c>
      <c r="K31" s="255">
        <f t="shared" si="48"/>
        <v>2.4</v>
      </c>
      <c r="L31" s="388">
        <f t="shared" si="62"/>
        <v>1954</v>
      </c>
      <c r="M31" s="547">
        <f t="shared" si="62"/>
        <v>1354</v>
      </c>
      <c r="N31" s="255">
        <f t="shared" si="63"/>
        <v>-30.7</v>
      </c>
      <c r="O31" s="547">
        <v>4320</v>
      </c>
      <c r="P31" s="547">
        <v>3776</v>
      </c>
      <c r="Q31" s="255">
        <f t="shared" si="64"/>
        <v>-12.6</v>
      </c>
      <c r="R31" s="564">
        <f t="shared" si="52"/>
        <v>920</v>
      </c>
      <c r="S31" s="547">
        <f t="shared" si="53"/>
        <v>1903</v>
      </c>
      <c r="T31" s="255">
        <f t="shared" si="65"/>
        <v>106.8</v>
      </c>
      <c r="U31" s="547">
        <v>5240</v>
      </c>
      <c r="V31" s="547">
        <v>5679</v>
      </c>
      <c r="W31" s="255">
        <f t="shared" si="66"/>
        <v>8.4</v>
      </c>
      <c r="X31" s="388">
        <f t="shared" si="67"/>
        <v>304</v>
      </c>
      <c r="Y31" s="547">
        <f t="shared" si="56"/>
        <v>1155</v>
      </c>
      <c r="Z31" s="255">
        <f t="shared" si="68"/>
        <v>279.89999999999998</v>
      </c>
      <c r="AA31" s="642">
        <v>5544</v>
      </c>
      <c r="AB31" s="642">
        <v>6834</v>
      </c>
      <c r="AC31" s="255">
        <f t="shared" si="69"/>
        <v>23.3</v>
      </c>
      <c r="AD31" s="537">
        <f t="shared" si="70"/>
        <v>162</v>
      </c>
      <c r="AE31" s="564">
        <f t="shared" si="70"/>
        <v>888</v>
      </c>
      <c r="AF31" s="255">
        <f t="shared" si="71"/>
        <v>448.1</v>
      </c>
      <c r="AG31" s="537">
        <v>5706</v>
      </c>
      <c r="AH31" s="547">
        <v>7722</v>
      </c>
      <c r="AI31" s="255">
        <f t="shared" si="72"/>
        <v>35.299999999999997</v>
      </c>
    </row>
    <row r="32" spans="1:35" ht="13.5" customHeight="1">
      <c r="A32" s="92"/>
      <c r="B32" s="860"/>
      <c r="C32" s="101" t="s">
        <v>45</v>
      </c>
      <c r="D32" s="94">
        <v>3682</v>
      </c>
      <c r="E32" s="94">
        <v>7993</v>
      </c>
      <c r="F32" s="94">
        <v>12820</v>
      </c>
      <c r="G32" s="94">
        <v>14381</v>
      </c>
      <c r="H32" s="94">
        <v>8904</v>
      </c>
      <c r="I32" s="642">
        <v>628</v>
      </c>
      <c r="J32" s="642">
        <v>924</v>
      </c>
      <c r="K32" s="255">
        <f t="shared" si="48"/>
        <v>47.1</v>
      </c>
      <c r="L32" s="388">
        <f t="shared" si="62"/>
        <v>1724</v>
      </c>
      <c r="M32" s="547">
        <f t="shared" si="62"/>
        <v>246</v>
      </c>
      <c r="N32" s="255">
        <f t="shared" si="63"/>
        <v>-85.7</v>
      </c>
      <c r="O32" s="547">
        <v>2352</v>
      </c>
      <c r="P32" s="547">
        <v>1170</v>
      </c>
      <c r="Q32" s="255">
        <f t="shared" si="64"/>
        <v>-50.3</v>
      </c>
      <c r="R32" s="564">
        <f t="shared" ref="R32:R45" si="73">U32-O32</f>
        <v>1575</v>
      </c>
      <c r="S32" s="547">
        <f t="shared" ref="S32:S45" si="74">V32-P32</f>
        <v>1403</v>
      </c>
      <c r="T32" s="541">
        <f t="shared" ref="T32:T45" si="75">ROUND(((S32/R32-1)*100), 1)</f>
        <v>-10.9</v>
      </c>
      <c r="U32" s="547">
        <v>3927</v>
      </c>
      <c r="V32" s="547">
        <v>2573</v>
      </c>
      <c r="W32" s="255">
        <f t="shared" si="66"/>
        <v>-34.5</v>
      </c>
      <c r="X32" s="388">
        <f t="shared" si="67"/>
        <v>124</v>
      </c>
      <c r="Y32" s="547">
        <f t="shared" si="56"/>
        <v>864</v>
      </c>
      <c r="Z32" s="255">
        <f t="shared" si="68"/>
        <v>596.79999999999995</v>
      </c>
      <c r="AA32" s="642">
        <v>4051</v>
      </c>
      <c r="AB32" s="642">
        <v>3437</v>
      </c>
      <c r="AC32" s="255">
        <f t="shared" si="69"/>
        <v>-15.2</v>
      </c>
      <c r="AD32" s="537">
        <f t="shared" ref="AD32:AE44" si="76">AG32-AA32</f>
        <v>0</v>
      </c>
      <c r="AE32" s="564">
        <f t="shared" si="76"/>
        <v>867</v>
      </c>
      <c r="AF32" s="570">
        <v>0</v>
      </c>
      <c r="AG32" s="537">
        <v>4051</v>
      </c>
      <c r="AH32" s="547">
        <v>4304</v>
      </c>
      <c r="AI32" s="255">
        <f t="shared" si="72"/>
        <v>6.2</v>
      </c>
    </row>
    <row r="33" spans="1:35" ht="13.5" customHeight="1">
      <c r="A33" s="92"/>
      <c r="B33" s="860"/>
      <c r="C33" s="101" t="s">
        <v>51</v>
      </c>
      <c r="D33" s="94">
        <v>1913</v>
      </c>
      <c r="E33" s="94">
        <v>5243</v>
      </c>
      <c r="F33" s="94">
        <v>5593</v>
      </c>
      <c r="G33" s="94">
        <v>10189</v>
      </c>
      <c r="H33" s="94">
        <v>8351</v>
      </c>
      <c r="I33" s="642">
        <v>731</v>
      </c>
      <c r="J33" s="642">
        <v>949</v>
      </c>
      <c r="K33" s="255">
        <f t="shared" si="48"/>
        <v>29.8</v>
      </c>
      <c r="L33" s="388">
        <f t="shared" si="62"/>
        <v>723</v>
      </c>
      <c r="M33" s="547">
        <f t="shared" si="62"/>
        <v>729</v>
      </c>
      <c r="N33" s="255">
        <f t="shared" si="63"/>
        <v>0.8</v>
      </c>
      <c r="O33" s="547">
        <v>1454</v>
      </c>
      <c r="P33" s="547">
        <v>1678</v>
      </c>
      <c r="Q33" s="255">
        <f t="shared" si="64"/>
        <v>15.4</v>
      </c>
      <c r="R33" s="564">
        <f t="shared" si="73"/>
        <v>621</v>
      </c>
      <c r="S33" s="547">
        <f t="shared" si="74"/>
        <v>912</v>
      </c>
      <c r="T33" s="541">
        <f t="shared" si="75"/>
        <v>46.9</v>
      </c>
      <c r="U33" s="547">
        <v>2075</v>
      </c>
      <c r="V33" s="547">
        <v>2590</v>
      </c>
      <c r="W33" s="255">
        <f t="shared" si="66"/>
        <v>24.8</v>
      </c>
      <c r="X33" s="388">
        <f t="shared" si="67"/>
        <v>516</v>
      </c>
      <c r="Y33" s="547">
        <f t="shared" si="56"/>
        <v>542</v>
      </c>
      <c r="Z33" s="255">
        <f t="shared" si="68"/>
        <v>5</v>
      </c>
      <c r="AA33" s="642">
        <v>2591</v>
      </c>
      <c r="AB33" s="642">
        <v>3132</v>
      </c>
      <c r="AC33" s="255">
        <f t="shared" si="69"/>
        <v>20.9</v>
      </c>
      <c r="AD33" s="537">
        <f t="shared" si="76"/>
        <v>414</v>
      </c>
      <c r="AE33" s="564">
        <f t="shared" si="76"/>
        <v>885</v>
      </c>
      <c r="AF33" s="541">
        <f t="shared" ref="AF33:AF43" si="77">ROUND(((AE33/AD33-1)*100), 1)</f>
        <v>113.8</v>
      </c>
      <c r="AG33" s="537">
        <v>3005</v>
      </c>
      <c r="AH33" s="547">
        <v>4017</v>
      </c>
      <c r="AI33" s="255">
        <f t="shared" si="72"/>
        <v>33.700000000000003</v>
      </c>
    </row>
    <row r="34" spans="1:35" ht="13.5" customHeight="1">
      <c r="A34" s="92"/>
      <c r="B34" s="860"/>
      <c r="C34" s="101" t="s">
        <v>125</v>
      </c>
      <c r="D34" s="94">
        <v>5</v>
      </c>
      <c r="E34" s="94">
        <v>0</v>
      </c>
      <c r="F34" s="94">
        <v>7706</v>
      </c>
      <c r="G34" s="94">
        <v>5051</v>
      </c>
      <c r="H34" s="94">
        <v>3581</v>
      </c>
      <c r="I34" s="642">
        <v>471</v>
      </c>
      <c r="J34" s="642">
        <v>0</v>
      </c>
      <c r="K34" s="541">
        <f t="shared" si="48"/>
        <v>-100</v>
      </c>
      <c r="L34" s="388">
        <f t="shared" si="62"/>
        <v>531</v>
      </c>
      <c r="M34" s="547">
        <f t="shared" si="62"/>
        <v>0</v>
      </c>
      <c r="N34" s="255">
        <f t="shared" si="63"/>
        <v>-100</v>
      </c>
      <c r="O34" s="547">
        <v>1002</v>
      </c>
      <c r="P34" s="547">
        <v>0</v>
      </c>
      <c r="Q34" s="255">
        <f t="shared" si="64"/>
        <v>-100</v>
      </c>
      <c r="R34" s="564">
        <f t="shared" si="73"/>
        <v>531</v>
      </c>
      <c r="S34" s="547">
        <f t="shared" si="74"/>
        <v>0</v>
      </c>
      <c r="T34" s="541">
        <f t="shared" si="75"/>
        <v>-100</v>
      </c>
      <c r="U34" s="547">
        <v>1533</v>
      </c>
      <c r="V34" s="547">
        <v>0</v>
      </c>
      <c r="W34" s="255">
        <f t="shared" si="66"/>
        <v>-100</v>
      </c>
      <c r="X34" s="388">
        <f t="shared" si="67"/>
        <v>40</v>
      </c>
      <c r="Y34" s="547">
        <f t="shared" si="56"/>
        <v>262</v>
      </c>
      <c r="Z34" s="255">
        <f t="shared" si="68"/>
        <v>555</v>
      </c>
      <c r="AA34" s="642">
        <v>1573</v>
      </c>
      <c r="AB34" s="642">
        <v>262</v>
      </c>
      <c r="AC34" s="255">
        <f t="shared" si="69"/>
        <v>-83.3</v>
      </c>
      <c r="AD34" s="537">
        <f t="shared" si="76"/>
        <v>196</v>
      </c>
      <c r="AE34" s="564">
        <f t="shared" si="76"/>
        <v>320</v>
      </c>
      <c r="AF34" s="541">
        <f t="shared" si="77"/>
        <v>63.3</v>
      </c>
      <c r="AG34" s="537">
        <v>1769</v>
      </c>
      <c r="AH34" s="547">
        <v>582</v>
      </c>
      <c r="AI34" s="255">
        <f t="shared" si="72"/>
        <v>-67.099999999999994</v>
      </c>
    </row>
    <row r="35" spans="1:35" ht="13.5" customHeight="1">
      <c r="A35" s="92"/>
      <c r="B35" s="860"/>
      <c r="C35" s="101" t="s">
        <v>94</v>
      </c>
      <c r="D35" s="94">
        <v>1357</v>
      </c>
      <c r="E35" s="94">
        <v>3625</v>
      </c>
      <c r="F35" s="94">
        <v>3110</v>
      </c>
      <c r="G35" s="94">
        <v>3431</v>
      </c>
      <c r="H35" s="94">
        <v>3458</v>
      </c>
      <c r="I35" s="642">
        <v>422</v>
      </c>
      <c r="J35" s="642">
        <v>333</v>
      </c>
      <c r="K35" s="541">
        <f t="shared" si="48"/>
        <v>-21.1</v>
      </c>
      <c r="L35" s="388">
        <f t="shared" si="62"/>
        <v>300</v>
      </c>
      <c r="M35" s="547">
        <f t="shared" si="62"/>
        <v>487</v>
      </c>
      <c r="N35" s="255">
        <f t="shared" si="63"/>
        <v>62.3</v>
      </c>
      <c r="O35" s="547">
        <v>722</v>
      </c>
      <c r="P35" s="547">
        <v>820</v>
      </c>
      <c r="Q35" s="541">
        <f t="shared" si="64"/>
        <v>13.6</v>
      </c>
      <c r="R35" s="564">
        <f t="shared" si="73"/>
        <v>312</v>
      </c>
      <c r="S35" s="547">
        <f t="shared" si="74"/>
        <v>596</v>
      </c>
      <c r="T35" s="541">
        <f t="shared" si="75"/>
        <v>91</v>
      </c>
      <c r="U35" s="547">
        <v>1034</v>
      </c>
      <c r="V35" s="547">
        <v>1416</v>
      </c>
      <c r="W35" s="255">
        <f t="shared" si="66"/>
        <v>36.9</v>
      </c>
      <c r="X35" s="388">
        <f t="shared" si="67"/>
        <v>202</v>
      </c>
      <c r="Y35" s="547">
        <f t="shared" si="56"/>
        <v>511</v>
      </c>
      <c r="Z35" s="541">
        <f t="shared" si="68"/>
        <v>153</v>
      </c>
      <c r="AA35" s="642">
        <v>1236</v>
      </c>
      <c r="AB35" s="642">
        <v>1927</v>
      </c>
      <c r="AC35" s="255">
        <f t="shared" si="69"/>
        <v>55.9</v>
      </c>
      <c r="AD35" s="537">
        <f t="shared" si="76"/>
        <v>58</v>
      </c>
      <c r="AE35" s="564">
        <f t="shared" si="76"/>
        <v>459</v>
      </c>
      <c r="AF35" s="541">
        <f t="shared" si="77"/>
        <v>691.4</v>
      </c>
      <c r="AG35" s="537">
        <v>1294</v>
      </c>
      <c r="AH35" s="547">
        <v>2386</v>
      </c>
      <c r="AI35" s="255">
        <f t="shared" si="72"/>
        <v>84.4</v>
      </c>
    </row>
    <row r="36" spans="1:35" ht="13.5" customHeight="1">
      <c r="A36" s="92"/>
      <c r="B36" s="860"/>
      <c r="C36" s="329" t="s">
        <v>202</v>
      </c>
      <c r="D36" s="325">
        <v>862</v>
      </c>
      <c r="E36" s="325">
        <v>478</v>
      </c>
      <c r="F36" s="325">
        <v>158</v>
      </c>
      <c r="G36" s="325">
        <v>546</v>
      </c>
      <c r="H36" s="325">
        <v>2682</v>
      </c>
      <c r="I36" s="646">
        <v>0</v>
      </c>
      <c r="J36" s="646">
        <v>90</v>
      </c>
      <c r="K36" s="570">
        <v>0</v>
      </c>
      <c r="L36" s="565">
        <f t="shared" si="62"/>
        <v>203</v>
      </c>
      <c r="M36" s="549">
        <f t="shared" si="62"/>
        <v>0</v>
      </c>
      <c r="N36" s="541">
        <f t="shared" si="63"/>
        <v>-100</v>
      </c>
      <c r="O36" s="549">
        <v>203</v>
      </c>
      <c r="P36" s="549">
        <v>90</v>
      </c>
      <c r="Q36" s="541">
        <f t="shared" si="64"/>
        <v>-55.7</v>
      </c>
      <c r="R36" s="564">
        <f t="shared" si="73"/>
        <v>90</v>
      </c>
      <c r="S36" s="547">
        <f t="shared" si="74"/>
        <v>94</v>
      </c>
      <c r="T36" s="541">
        <f t="shared" si="75"/>
        <v>4.4000000000000004</v>
      </c>
      <c r="U36" s="549">
        <v>293</v>
      </c>
      <c r="V36" s="547">
        <v>184</v>
      </c>
      <c r="W36" s="255">
        <f t="shared" si="66"/>
        <v>-37.200000000000003</v>
      </c>
      <c r="X36" s="565">
        <f t="shared" si="67"/>
        <v>293</v>
      </c>
      <c r="Y36" s="547">
        <f t="shared" si="56"/>
        <v>164</v>
      </c>
      <c r="Z36" s="541">
        <f t="shared" si="68"/>
        <v>-44</v>
      </c>
      <c r="AA36" s="646">
        <v>586</v>
      </c>
      <c r="AB36" s="642">
        <v>348</v>
      </c>
      <c r="AC36" s="255">
        <f t="shared" si="69"/>
        <v>-40.6</v>
      </c>
      <c r="AD36" s="537">
        <f t="shared" si="76"/>
        <v>247</v>
      </c>
      <c r="AE36" s="564">
        <f t="shared" si="76"/>
        <v>164</v>
      </c>
      <c r="AF36" s="541">
        <f t="shared" si="77"/>
        <v>-33.6</v>
      </c>
      <c r="AG36" s="537">
        <v>833</v>
      </c>
      <c r="AH36" s="547">
        <v>512</v>
      </c>
      <c r="AI36" s="255">
        <f t="shared" si="72"/>
        <v>-38.5</v>
      </c>
    </row>
    <row r="37" spans="1:35" ht="13.5" customHeight="1">
      <c r="A37" s="92"/>
      <c r="B37" s="860"/>
      <c r="C37" s="101" t="s">
        <v>104</v>
      </c>
      <c r="D37" s="94">
        <v>391</v>
      </c>
      <c r="E37" s="94">
        <v>0</v>
      </c>
      <c r="F37" s="94">
        <v>2447</v>
      </c>
      <c r="G37" s="94">
        <v>1284</v>
      </c>
      <c r="H37" s="94">
        <v>1893</v>
      </c>
      <c r="I37" s="642">
        <v>173</v>
      </c>
      <c r="J37" s="642">
        <v>291</v>
      </c>
      <c r="K37" s="541">
        <f t="shared" si="48"/>
        <v>68.2</v>
      </c>
      <c r="L37" s="388">
        <f t="shared" si="62"/>
        <v>172</v>
      </c>
      <c r="M37" s="547">
        <f t="shared" si="62"/>
        <v>207</v>
      </c>
      <c r="N37" s="541">
        <f t="shared" si="63"/>
        <v>20.3</v>
      </c>
      <c r="O37" s="547">
        <v>345</v>
      </c>
      <c r="P37" s="547">
        <v>498</v>
      </c>
      <c r="Q37" s="541">
        <f t="shared" si="64"/>
        <v>44.3</v>
      </c>
      <c r="R37" s="564">
        <f t="shared" si="73"/>
        <v>435</v>
      </c>
      <c r="S37" s="547">
        <f t="shared" si="74"/>
        <v>291</v>
      </c>
      <c r="T37" s="541">
        <f t="shared" si="75"/>
        <v>-33.1</v>
      </c>
      <c r="U37" s="547">
        <v>780</v>
      </c>
      <c r="V37" s="547">
        <v>789</v>
      </c>
      <c r="W37" s="541">
        <f t="shared" si="66"/>
        <v>1.2</v>
      </c>
      <c r="X37" s="388">
        <f t="shared" si="67"/>
        <v>0</v>
      </c>
      <c r="Y37" s="547">
        <f t="shared" si="56"/>
        <v>290</v>
      </c>
      <c r="Z37" s="570">
        <v>0</v>
      </c>
      <c r="AA37" s="642">
        <v>780</v>
      </c>
      <c r="AB37" s="642">
        <v>1079</v>
      </c>
      <c r="AC37" s="255">
        <f t="shared" si="69"/>
        <v>38.299999999999997</v>
      </c>
      <c r="AD37" s="537">
        <f t="shared" si="76"/>
        <v>0</v>
      </c>
      <c r="AE37" s="564">
        <f t="shared" si="76"/>
        <v>374</v>
      </c>
      <c r="AF37" s="570">
        <v>0</v>
      </c>
      <c r="AG37" s="537">
        <v>780</v>
      </c>
      <c r="AH37" s="547">
        <v>1453</v>
      </c>
      <c r="AI37" s="255">
        <f t="shared" si="72"/>
        <v>86.3</v>
      </c>
    </row>
    <row r="38" spans="1:35" ht="13.5" customHeight="1">
      <c r="A38" s="92"/>
      <c r="B38" s="860"/>
      <c r="C38" s="101" t="s">
        <v>201</v>
      </c>
      <c r="D38" s="94">
        <v>1154</v>
      </c>
      <c r="E38" s="94">
        <v>1733</v>
      </c>
      <c r="F38" s="94">
        <v>1639</v>
      </c>
      <c r="G38" s="94">
        <v>1011</v>
      </c>
      <c r="H38" s="94">
        <v>1856</v>
      </c>
      <c r="I38" s="642">
        <v>0</v>
      </c>
      <c r="J38" s="642">
        <v>206</v>
      </c>
      <c r="K38" s="570">
        <v>0</v>
      </c>
      <c r="L38" s="564">
        <f t="shared" si="62"/>
        <v>424</v>
      </c>
      <c r="M38" s="547">
        <f t="shared" si="62"/>
        <v>214</v>
      </c>
      <c r="N38" s="541">
        <f t="shared" si="63"/>
        <v>-49.5</v>
      </c>
      <c r="O38" s="547">
        <v>424</v>
      </c>
      <c r="P38" s="547">
        <v>420</v>
      </c>
      <c r="Q38" s="541">
        <f t="shared" si="64"/>
        <v>-0.9</v>
      </c>
      <c r="R38" s="564">
        <f t="shared" si="73"/>
        <v>0</v>
      </c>
      <c r="S38" s="547">
        <f t="shared" si="74"/>
        <v>0</v>
      </c>
      <c r="T38" s="570">
        <v>0</v>
      </c>
      <c r="U38" s="547">
        <v>424</v>
      </c>
      <c r="V38" s="547">
        <v>420</v>
      </c>
      <c r="W38" s="255">
        <f>ROUND(((V38/U38-1)*100), 1)</f>
        <v>-0.9</v>
      </c>
      <c r="X38" s="564">
        <f t="shared" si="67"/>
        <v>219</v>
      </c>
      <c r="Y38" s="547">
        <f t="shared" si="56"/>
        <v>311</v>
      </c>
      <c r="Z38" s="541">
        <f t="shared" si="68"/>
        <v>42</v>
      </c>
      <c r="AA38" s="642">
        <v>643</v>
      </c>
      <c r="AB38" s="642">
        <v>731</v>
      </c>
      <c r="AC38" s="255">
        <f t="shared" si="69"/>
        <v>13.7</v>
      </c>
      <c r="AD38" s="537">
        <f t="shared" si="76"/>
        <v>174</v>
      </c>
      <c r="AE38" s="564">
        <f t="shared" si="76"/>
        <v>0</v>
      </c>
      <c r="AF38" s="541">
        <f t="shared" si="77"/>
        <v>-100</v>
      </c>
      <c r="AG38" s="537">
        <v>817</v>
      </c>
      <c r="AH38" s="547">
        <v>731</v>
      </c>
      <c r="AI38" s="255">
        <f t="shared" si="72"/>
        <v>-10.5</v>
      </c>
    </row>
    <row r="39" spans="1:35" ht="13.5" customHeight="1">
      <c r="A39" s="92"/>
      <c r="B39" s="860"/>
      <c r="C39" s="101" t="s">
        <v>203</v>
      </c>
      <c r="D39" s="94">
        <v>205</v>
      </c>
      <c r="E39" s="94">
        <v>0</v>
      </c>
      <c r="F39" s="94">
        <v>1733</v>
      </c>
      <c r="G39" s="94">
        <v>1836</v>
      </c>
      <c r="H39" s="94">
        <v>1599</v>
      </c>
      <c r="I39" s="642">
        <v>203</v>
      </c>
      <c r="J39" s="642">
        <v>0</v>
      </c>
      <c r="K39" s="541">
        <f t="shared" si="48"/>
        <v>-100</v>
      </c>
      <c r="L39" s="388">
        <f t="shared" si="62"/>
        <v>203</v>
      </c>
      <c r="M39" s="547">
        <f t="shared" si="62"/>
        <v>201</v>
      </c>
      <c r="N39" s="541">
        <f t="shared" si="63"/>
        <v>-1</v>
      </c>
      <c r="O39" s="547">
        <v>406</v>
      </c>
      <c r="P39" s="547">
        <v>201</v>
      </c>
      <c r="Q39" s="541">
        <f t="shared" si="64"/>
        <v>-50.5</v>
      </c>
      <c r="R39" s="564">
        <f t="shared" si="73"/>
        <v>203</v>
      </c>
      <c r="S39" s="547">
        <f t="shared" si="74"/>
        <v>0</v>
      </c>
      <c r="T39" s="541">
        <f t="shared" si="75"/>
        <v>-100</v>
      </c>
      <c r="U39" s="547">
        <v>609</v>
      </c>
      <c r="V39" s="547">
        <v>201</v>
      </c>
      <c r="W39" s="541">
        <f>ROUND(((V39/U39-1)*100), 1)</f>
        <v>-67</v>
      </c>
      <c r="X39" s="388">
        <f t="shared" si="67"/>
        <v>0</v>
      </c>
      <c r="Y39" s="547">
        <f t="shared" si="56"/>
        <v>0</v>
      </c>
      <c r="Z39" s="570">
        <v>0</v>
      </c>
      <c r="AA39" s="642">
        <v>609</v>
      </c>
      <c r="AB39" s="642">
        <v>201</v>
      </c>
      <c r="AC39" s="255">
        <f t="shared" si="69"/>
        <v>-67</v>
      </c>
      <c r="AD39" s="537">
        <f t="shared" si="76"/>
        <v>0</v>
      </c>
      <c r="AE39" s="564">
        <f t="shared" si="76"/>
        <v>47</v>
      </c>
      <c r="AF39" s="570">
        <v>0</v>
      </c>
      <c r="AG39" s="537">
        <v>609</v>
      </c>
      <c r="AH39" s="547">
        <v>248</v>
      </c>
      <c r="AI39" s="255">
        <f t="shared" si="72"/>
        <v>-59.3</v>
      </c>
    </row>
    <row r="40" spans="1:35" ht="13.5" customHeight="1">
      <c r="A40" s="92"/>
      <c r="B40" s="860"/>
      <c r="C40" s="101" t="s">
        <v>284</v>
      </c>
      <c r="D40" s="94">
        <v>20</v>
      </c>
      <c r="E40" s="94">
        <v>60</v>
      </c>
      <c r="F40" s="94">
        <v>1470</v>
      </c>
      <c r="G40" s="94">
        <v>2583</v>
      </c>
      <c r="H40" s="94">
        <v>1543</v>
      </c>
      <c r="I40" s="642">
        <v>395</v>
      </c>
      <c r="J40" s="642">
        <v>0</v>
      </c>
      <c r="K40" s="541">
        <f t="shared" si="48"/>
        <v>-100</v>
      </c>
      <c r="L40" s="564">
        <f t="shared" si="62"/>
        <v>99</v>
      </c>
      <c r="M40" s="547">
        <f t="shared" si="62"/>
        <v>0</v>
      </c>
      <c r="N40" s="541">
        <f t="shared" si="63"/>
        <v>-100</v>
      </c>
      <c r="O40" s="547">
        <v>494</v>
      </c>
      <c r="P40" s="547">
        <v>0</v>
      </c>
      <c r="Q40" s="541">
        <f t="shared" si="64"/>
        <v>-100</v>
      </c>
      <c r="R40" s="564">
        <f t="shared" si="73"/>
        <v>396</v>
      </c>
      <c r="S40" s="547">
        <f t="shared" si="74"/>
        <v>0</v>
      </c>
      <c r="T40" s="541">
        <f t="shared" si="75"/>
        <v>-100</v>
      </c>
      <c r="U40" s="547">
        <v>890</v>
      </c>
      <c r="V40" s="547">
        <v>0</v>
      </c>
      <c r="W40" s="255">
        <f>ROUND(((V40/U40-1)*100), 1)</f>
        <v>-100</v>
      </c>
      <c r="X40" s="564">
        <f t="shared" si="67"/>
        <v>495</v>
      </c>
      <c r="Y40" s="547">
        <f t="shared" si="56"/>
        <v>0</v>
      </c>
      <c r="Z40" s="541">
        <f t="shared" si="68"/>
        <v>-100</v>
      </c>
      <c r="AA40" s="642">
        <v>1385</v>
      </c>
      <c r="AB40" s="642">
        <v>0</v>
      </c>
      <c r="AC40" s="255">
        <f t="shared" si="69"/>
        <v>-100</v>
      </c>
      <c r="AD40" s="537">
        <f t="shared" si="76"/>
        <v>158</v>
      </c>
      <c r="AE40" s="564">
        <f t="shared" si="76"/>
        <v>0</v>
      </c>
      <c r="AF40" s="541">
        <f t="shared" si="77"/>
        <v>-100</v>
      </c>
      <c r="AG40" s="537">
        <v>1543</v>
      </c>
      <c r="AH40" s="547">
        <v>0</v>
      </c>
      <c r="AI40" s="255">
        <f t="shared" si="72"/>
        <v>-100</v>
      </c>
    </row>
    <row r="41" spans="1:35" s="167" customFormat="1" ht="13.5" customHeight="1">
      <c r="A41" s="322"/>
      <c r="B41" s="860"/>
      <c r="C41" s="329" t="s">
        <v>305</v>
      </c>
      <c r="D41" s="325">
        <v>0</v>
      </c>
      <c r="E41" s="325">
        <v>43</v>
      </c>
      <c r="F41" s="325">
        <v>888</v>
      </c>
      <c r="G41" s="325">
        <v>1566</v>
      </c>
      <c r="H41" s="325">
        <v>1411</v>
      </c>
      <c r="I41" s="646">
        <v>156</v>
      </c>
      <c r="J41" s="646">
        <v>0</v>
      </c>
      <c r="K41" s="541">
        <f t="shared" si="48"/>
        <v>-100</v>
      </c>
      <c r="L41" s="565">
        <f t="shared" si="62"/>
        <v>204</v>
      </c>
      <c r="M41" s="549">
        <f t="shared" si="62"/>
        <v>0</v>
      </c>
      <c r="N41" s="173">
        <v>0</v>
      </c>
      <c r="O41" s="549">
        <v>360</v>
      </c>
      <c r="P41" s="549">
        <v>0</v>
      </c>
      <c r="Q41" s="541">
        <f t="shared" si="64"/>
        <v>-100</v>
      </c>
      <c r="R41" s="564">
        <f t="shared" si="73"/>
        <v>0</v>
      </c>
      <c r="S41" s="547">
        <f t="shared" si="74"/>
        <v>0</v>
      </c>
      <c r="T41" s="570">
        <v>0</v>
      </c>
      <c r="U41" s="549">
        <v>360</v>
      </c>
      <c r="V41" s="547">
        <v>0</v>
      </c>
      <c r="W41" s="255">
        <f>ROUND(((V41/U41-1)*100), 1)</f>
        <v>-100</v>
      </c>
      <c r="X41" s="565">
        <f t="shared" si="67"/>
        <v>314</v>
      </c>
      <c r="Y41" s="547">
        <f t="shared" si="56"/>
        <v>0</v>
      </c>
      <c r="Z41" s="541">
        <f t="shared" si="68"/>
        <v>-100</v>
      </c>
      <c r="AA41" s="646">
        <v>674</v>
      </c>
      <c r="AB41" s="642">
        <v>0</v>
      </c>
      <c r="AC41" s="255">
        <f t="shared" si="69"/>
        <v>-100</v>
      </c>
      <c r="AD41" s="537">
        <f t="shared" si="76"/>
        <v>314</v>
      </c>
      <c r="AE41" s="564">
        <f t="shared" si="76"/>
        <v>211</v>
      </c>
      <c r="AF41" s="541">
        <f t="shared" si="77"/>
        <v>-32.799999999999997</v>
      </c>
      <c r="AG41" s="537">
        <v>988</v>
      </c>
      <c r="AH41" s="547">
        <v>211</v>
      </c>
      <c r="AI41" s="541">
        <f t="shared" si="72"/>
        <v>-78.599999999999994</v>
      </c>
    </row>
    <row r="42" spans="1:35" s="167" customFormat="1" ht="13.5" customHeight="1">
      <c r="A42" s="322"/>
      <c r="B42" s="860"/>
      <c r="C42" s="329" t="s">
        <v>530</v>
      </c>
      <c r="D42" s="325">
        <v>0</v>
      </c>
      <c r="E42" s="325">
        <v>0</v>
      </c>
      <c r="F42" s="325">
        <v>0</v>
      </c>
      <c r="G42" s="325">
        <v>0</v>
      </c>
      <c r="H42" s="325">
        <v>999</v>
      </c>
      <c r="I42" s="646">
        <v>0</v>
      </c>
      <c r="J42" s="646">
        <v>240</v>
      </c>
      <c r="K42" s="570">
        <v>0</v>
      </c>
      <c r="L42" s="565">
        <f t="shared" ref="L42" si="78">O42-I42</f>
        <v>0</v>
      </c>
      <c r="M42" s="549">
        <f t="shared" ref="M42" si="79">P42-J42</f>
        <v>217</v>
      </c>
      <c r="N42" s="570">
        <v>0</v>
      </c>
      <c r="O42" s="549">
        <v>0</v>
      </c>
      <c r="P42" s="549">
        <v>457</v>
      </c>
      <c r="Q42" s="570">
        <v>0</v>
      </c>
      <c r="R42" s="564">
        <f t="shared" si="73"/>
        <v>0</v>
      </c>
      <c r="S42" s="547">
        <f t="shared" si="74"/>
        <v>193</v>
      </c>
      <c r="T42" s="570">
        <v>0</v>
      </c>
      <c r="U42" s="549">
        <v>0</v>
      </c>
      <c r="V42" s="547">
        <v>650</v>
      </c>
      <c r="W42" s="570">
        <v>0</v>
      </c>
      <c r="X42" s="565"/>
      <c r="Y42" s="547">
        <f t="shared" si="56"/>
        <v>265</v>
      </c>
      <c r="Z42" s="570">
        <v>0</v>
      </c>
      <c r="AA42" s="646">
        <v>1</v>
      </c>
      <c r="AB42" s="642">
        <v>915</v>
      </c>
      <c r="AC42" s="541">
        <f t="shared" si="69"/>
        <v>91400</v>
      </c>
      <c r="AD42" s="537">
        <f t="shared" si="76"/>
        <v>0</v>
      </c>
      <c r="AE42" s="564">
        <f t="shared" si="76"/>
        <v>409</v>
      </c>
      <c r="AF42" s="570">
        <v>0</v>
      </c>
      <c r="AG42" s="537">
        <v>1</v>
      </c>
      <c r="AH42" s="547">
        <v>1324</v>
      </c>
      <c r="AI42" s="541">
        <f t="shared" si="72"/>
        <v>132300</v>
      </c>
    </row>
    <row r="43" spans="1:35" s="167" customFormat="1" ht="13.5" customHeight="1">
      <c r="A43" s="322"/>
      <c r="B43" s="860"/>
      <c r="C43" s="101" t="s">
        <v>50</v>
      </c>
      <c r="D43" s="94">
        <v>4324</v>
      </c>
      <c r="E43" s="94">
        <v>3434</v>
      </c>
      <c r="F43" s="94">
        <v>7834</v>
      </c>
      <c r="G43" s="94">
        <v>570</v>
      </c>
      <c r="H43" s="94">
        <v>689</v>
      </c>
      <c r="I43" s="642">
        <v>0</v>
      </c>
      <c r="J43" s="642">
        <v>305</v>
      </c>
      <c r="K43" s="570">
        <v>0</v>
      </c>
      <c r="L43" s="388">
        <f t="shared" ref="L43:M45" si="80">O43-I43</f>
        <v>0</v>
      </c>
      <c r="M43" s="547">
        <f t="shared" si="80"/>
        <v>21</v>
      </c>
      <c r="N43" s="464">
        <v>0</v>
      </c>
      <c r="O43" s="547">
        <v>0</v>
      </c>
      <c r="P43" s="547">
        <v>326</v>
      </c>
      <c r="Q43" s="570">
        <v>0</v>
      </c>
      <c r="R43" s="564">
        <f t="shared" si="73"/>
        <v>0</v>
      </c>
      <c r="S43" s="547">
        <f t="shared" si="74"/>
        <v>265</v>
      </c>
      <c r="T43" s="570">
        <v>0</v>
      </c>
      <c r="U43" s="547">
        <v>0</v>
      </c>
      <c r="V43" s="547">
        <v>591</v>
      </c>
      <c r="W43" s="570">
        <v>0</v>
      </c>
      <c r="X43" s="388">
        <f>AA43-U43</f>
        <v>0</v>
      </c>
      <c r="Y43" s="547">
        <f t="shared" si="56"/>
        <v>57</v>
      </c>
      <c r="Z43" s="570">
        <v>0</v>
      </c>
      <c r="AA43" s="642">
        <v>0</v>
      </c>
      <c r="AB43" s="642">
        <v>648</v>
      </c>
      <c r="AC43" s="570">
        <v>0</v>
      </c>
      <c r="AD43" s="537">
        <f t="shared" si="76"/>
        <v>37</v>
      </c>
      <c r="AE43" s="564">
        <f t="shared" si="76"/>
        <v>369</v>
      </c>
      <c r="AF43" s="541">
        <f t="shared" si="77"/>
        <v>897.3</v>
      </c>
      <c r="AG43" s="537">
        <v>37</v>
      </c>
      <c r="AH43" s="547">
        <v>1017</v>
      </c>
      <c r="AI43" s="541">
        <f t="shared" si="72"/>
        <v>2648.6</v>
      </c>
    </row>
    <row r="44" spans="1:35" s="167" customFormat="1" ht="13.5" customHeight="1">
      <c r="A44" s="322"/>
      <c r="B44" s="860"/>
      <c r="C44" s="329" t="s">
        <v>53</v>
      </c>
      <c r="D44" s="325">
        <v>0</v>
      </c>
      <c r="E44" s="325">
        <v>581</v>
      </c>
      <c r="F44" s="325">
        <v>21</v>
      </c>
      <c r="G44" s="325">
        <v>65</v>
      </c>
      <c r="H44" s="325">
        <v>189</v>
      </c>
      <c r="I44" s="646">
        <v>0</v>
      </c>
      <c r="J44" s="646">
        <v>18</v>
      </c>
      <c r="K44" s="570">
        <v>0</v>
      </c>
      <c r="L44" s="390">
        <f t="shared" si="80"/>
        <v>0</v>
      </c>
      <c r="M44" s="549">
        <f t="shared" si="80"/>
        <v>23</v>
      </c>
      <c r="N44" s="464">
        <v>0</v>
      </c>
      <c r="O44" s="549">
        <v>0</v>
      </c>
      <c r="P44" s="549">
        <v>41</v>
      </c>
      <c r="Q44" s="570">
        <v>0</v>
      </c>
      <c r="R44" s="564">
        <f t="shared" si="73"/>
        <v>0</v>
      </c>
      <c r="S44" s="547">
        <f t="shared" si="74"/>
        <v>42</v>
      </c>
      <c r="T44" s="570">
        <v>0</v>
      </c>
      <c r="U44" s="549">
        <v>0</v>
      </c>
      <c r="V44" s="547">
        <v>83</v>
      </c>
      <c r="W44" s="570">
        <v>0</v>
      </c>
      <c r="X44" s="390">
        <f>AA44-U44</f>
        <v>0</v>
      </c>
      <c r="Y44" s="547">
        <f t="shared" ref="Y44:Y45" si="81">AB44-V44</f>
        <v>0</v>
      </c>
      <c r="Z44" s="464">
        <v>0</v>
      </c>
      <c r="AA44" s="646">
        <v>0</v>
      </c>
      <c r="AB44" s="642">
        <v>83</v>
      </c>
      <c r="AC44" s="570">
        <v>0</v>
      </c>
      <c r="AD44" s="537">
        <f t="shared" si="76"/>
        <v>0</v>
      </c>
      <c r="AE44" s="564">
        <f t="shared" si="76"/>
        <v>0</v>
      </c>
      <c r="AF44" s="570">
        <v>0</v>
      </c>
      <c r="AG44" s="537">
        <v>0</v>
      </c>
      <c r="AH44" s="547">
        <v>83</v>
      </c>
      <c r="AI44" s="570">
        <v>0</v>
      </c>
    </row>
    <row r="45" spans="1:35" s="167" customFormat="1" ht="13.5" customHeight="1">
      <c r="A45" s="322"/>
      <c r="B45" s="860"/>
      <c r="C45" s="329" t="s">
        <v>46</v>
      </c>
      <c r="D45" s="325">
        <v>293</v>
      </c>
      <c r="E45" s="325">
        <v>235</v>
      </c>
      <c r="F45" s="325">
        <v>288</v>
      </c>
      <c r="G45" s="325">
        <v>1114</v>
      </c>
      <c r="H45" s="325">
        <v>178</v>
      </c>
      <c r="I45" s="646">
        <v>0</v>
      </c>
      <c r="J45" s="646">
        <v>0</v>
      </c>
      <c r="K45" s="570">
        <v>0</v>
      </c>
      <c r="L45" s="390">
        <f t="shared" si="80"/>
        <v>0</v>
      </c>
      <c r="M45" s="549">
        <f t="shared" si="80"/>
        <v>0</v>
      </c>
      <c r="N45" s="570">
        <v>0</v>
      </c>
      <c r="O45" s="549">
        <v>0</v>
      </c>
      <c r="P45" s="549">
        <v>0</v>
      </c>
      <c r="Q45" s="570">
        <v>0</v>
      </c>
      <c r="R45" s="564">
        <f t="shared" si="73"/>
        <v>22</v>
      </c>
      <c r="S45" s="547">
        <f t="shared" si="74"/>
        <v>0</v>
      </c>
      <c r="T45" s="541">
        <f t="shared" si="75"/>
        <v>-100</v>
      </c>
      <c r="U45" s="549">
        <v>22</v>
      </c>
      <c r="V45" s="547">
        <v>0</v>
      </c>
      <c r="W45" s="255">
        <f>ROUND(((V45/U45-1)*100), 1)</f>
        <v>-100</v>
      </c>
      <c r="X45" s="390">
        <f>AA45-U45</f>
        <v>0</v>
      </c>
      <c r="Y45" s="547">
        <f t="shared" si="81"/>
        <v>0</v>
      </c>
      <c r="Z45" s="570">
        <v>0</v>
      </c>
      <c r="AA45" s="646">
        <v>22</v>
      </c>
      <c r="AB45" s="642">
        <v>0</v>
      </c>
      <c r="AC45" s="255">
        <f>ROUND(((AB45/AA45-1)*100), 1)</f>
        <v>-100</v>
      </c>
      <c r="AD45" s="714">
        <f>AG45-AA45</f>
        <v>37</v>
      </c>
      <c r="AE45" s="565">
        <f>AH45-AB45</f>
        <v>0</v>
      </c>
      <c r="AF45" s="541">
        <f>ROUND(((AE45/AD45-1)*100), 1)</f>
        <v>-100</v>
      </c>
      <c r="AG45" s="537">
        <v>59</v>
      </c>
      <c r="AH45" s="547">
        <v>0</v>
      </c>
      <c r="AI45" s="255">
        <f>ROUND(((AH45/AG45-1)*100), 1)</f>
        <v>-100</v>
      </c>
    </row>
    <row r="46" spans="1:35" s="167" customFormat="1" ht="13.5" customHeight="1">
      <c r="A46" s="322"/>
      <c r="B46" s="860"/>
      <c r="C46" s="329" t="s">
        <v>18</v>
      </c>
      <c r="D46" s="325">
        <f t="shared" ref="D46:J46" si="82">D47-SUM(D29:D45)</f>
        <v>348</v>
      </c>
      <c r="E46" s="325">
        <f t="shared" si="82"/>
        <v>44</v>
      </c>
      <c r="F46" s="325">
        <f t="shared" si="82"/>
        <v>1230</v>
      </c>
      <c r="G46" s="325">
        <f t="shared" si="82"/>
        <v>153</v>
      </c>
      <c r="H46" s="325">
        <f t="shared" si="82"/>
        <v>49</v>
      </c>
      <c r="I46" s="646">
        <f t="shared" si="82"/>
        <v>2</v>
      </c>
      <c r="J46" s="646">
        <f t="shared" si="82"/>
        <v>133</v>
      </c>
      <c r="K46" s="541">
        <f t="shared" si="48"/>
        <v>6550</v>
      </c>
      <c r="L46" s="390">
        <f>L47-SUM(L29:L45)</f>
        <v>21</v>
      </c>
      <c r="M46" s="549">
        <f>M47-SUM(M29:M45)</f>
        <v>153</v>
      </c>
      <c r="N46" s="541">
        <f>ROUND(((M46/L46-1)*100), 1)</f>
        <v>628.6</v>
      </c>
      <c r="O46" s="549">
        <f>O47-SUM(O29:O45)</f>
        <v>23</v>
      </c>
      <c r="P46" s="549">
        <f>P47-SUM(P29:P45)</f>
        <v>286</v>
      </c>
      <c r="Q46" s="541">
        <f>ROUND(((P46/O46-1)*100), 1)</f>
        <v>1143.5</v>
      </c>
      <c r="R46" s="565">
        <f>R47-SUM(R29:R45)</f>
        <v>0</v>
      </c>
      <c r="S46" s="549">
        <f>S47-SUM(S29:S45)</f>
        <v>209</v>
      </c>
      <c r="T46" s="543">
        <v>0</v>
      </c>
      <c r="U46" s="549">
        <f>U47-SUM(U29:U45)</f>
        <v>23</v>
      </c>
      <c r="V46" s="549">
        <f>V47-SUM(V29:V45)</f>
        <v>495</v>
      </c>
      <c r="W46" s="255">
        <f t="shared" ref="W46" si="83">ROUND(((V46/U46-1)*100), 1)</f>
        <v>2052.1999999999998</v>
      </c>
      <c r="X46" s="390">
        <f>X47-SUM(X29:X45)</f>
        <v>1</v>
      </c>
      <c r="Y46" s="549">
        <f>Y47-SUM(Y29:Y45)</f>
        <v>150</v>
      </c>
      <c r="Z46" s="255">
        <f t="shared" ref="Z46" si="84">ROUND(((Y46/X46-1)*100), 1)</f>
        <v>14900</v>
      </c>
      <c r="AA46" s="646">
        <f>AA47-SUM(AA29:AA45)</f>
        <v>23</v>
      </c>
      <c r="AB46" s="646">
        <f>AB47-SUM(AB29:AB45)</f>
        <v>645</v>
      </c>
      <c r="AC46" s="255">
        <f t="shared" ref="AC46" si="85">ROUND(((AB46/AA46-1)*100), 1)</f>
        <v>2704.3</v>
      </c>
      <c r="AD46" s="714">
        <f>AD47-SUM(AD29:AD45)</f>
        <v>18</v>
      </c>
      <c r="AE46" s="565">
        <f>AE47-SUM(AE29:AE45)</f>
        <v>93</v>
      </c>
      <c r="AF46" s="541">
        <f t="shared" ref="AF46" si="86">ROUND(((AE46/AD46-1)*100), 1)</f>
        <v>416.7</v>
      </c>
      <c r="AG46" s="549">
        <f>AG47-SUM(AG29:AG45)</f>
        <v>41</v>
      </c>
      <c r="AH46" s="549">
        <f>AH47-SUM(AH29:AH45)</f>
        <v>738</v>
      </c>
      <c r="AI46" s="255">
        <f t="shared" ref="AI46" si="87">ROUND(((AH46/AG46-1)*100), 1)</f>
        <v>1700</v>
      </c>
    </row>
    <row r="47" spans="1:35" s="167" customFormat="1" ht="13.5" customHeight="1">
      <c r="A47" s="322"/>
      <c r="B47" s="861"/>
      <c r="C47" s="334" t="s">
        <v>199</v>
      </c>
      <c r="D47" s="335">
        <v>54583</v>
      </c>
      <c r="E47" s="335">
        <v>87651</v>
      </c>
      <c r="F47" s="335">
        <v>109399</v>
      </c>
      <c r="G47" s="335">
        <v>91079</v>
      </c>
      <c r="H47" s="335">
        <v>198803</v>
      </c>
      <c r="I47" s="647">
        <v>14543</v>
      </c>
      <c r="J47" s="647">
        <v>14639</v>
      </c>
      <c r="K47" s="336">
        <f>ROUND(((J47/I47-1)*100), 1)</f>
        <v>0.7</v>
      </c>
      <c r="L47" s="391">
        <f t="shared" ref="L47:M59" si="88">O47-I47</f>
        <v>15514</v>
      </c>
      <c r="M47" s="557">
        <f t="shared" si="88"/>
        <v>11693</v>
      </c>
      <c r="N47" s="336">
        <f>ROUND(((M47/L47-1)*100), 1)</f>
        <v>-24.6</v>
      </c>
      <c r="O47" s="557">
        <v>30057</v>
      </c>
      <c r="P47" s="557">
        <v>26332</v>
      </c>
      <c r="Q47" s="336">
        <f>ROUND(((P47/O47-1)*100), 1)</f>
        <v>-12.4</v>
      </c>
      <c r="R47" s="556">
        <f t="shared" ref="R47:R50" si="89">U47-O47</f>
        <v>13355</v>
      </c>
      <c r="S47" s="557">
        <f t="shared" ref="S47:S50" si="90">V47-P47</f>
        <v>17444</v>
      </c>
      <c r="T47" s="336">
        <f>ROUND(((S47/R47-1)*100), 1)</f>
        <v>30.6</v>
      </c>
      <c r="U47" s="557">
        <v>43412</v>
      </c>
      <c r="V47" s="557">
        <v>43776</v>
      </c>
      <c r="W47" s="336">
        <f>ROUND(((V47/U47-1)*100), 1)</f>
        <v>0.8</v>
      </c>
      <c r="X47" s="391">
        <f t="shared" ref="X47:Y57" si="91">AA47-U47</f>
        <v>10327</v>
      </c>
      <c r="Y47" s="557">
        <f t="shared" si="91"/>
        <v>13738</v>
      </c>
      <c r="Z47" s="336">
        <f>ROUND(((Y47/X47-1)*100), 1)</f>
        <v>33</v>
      </c>
      <c r="AA47" s="647">
        <v>53739</v>
      </c>
      <c r="AB47" s="647">
        <v>57514</v>
      </c>
      <c r="AC47" s="336">
        <f>ROUND(((AB47/AA47-1)*100), 1)</f>
        <v>7</v>
      </c>
      <c r="AD47" s="703">
        <f t="shared" ref="AD47:AE47" si="92">AG47-AA47</f>
        <v>18854</v>
      </c>
      <c r="AE47" s="556">
        <f t="shared" si="92"/>
        <v>17053</v>
      </c>
      <c r="AF47" s="336">
        <f>ROUND(((AE47/AD47-1)*100), 1)</f>
        <v>-9.6</v>
      </c>
      <c r="AG47" s="557">
        <v>72593</v>
      </c>
      <c r="AH47" s="557">
        <v>74567</v>
      </c>
      <c r="AI47" s="336">
        <f t="shared" ref="AI47:AI52" si="93">ROUND(((AH47/AG47-1)*100), 1)</f>
        <v>2.7</v>
      </c>
    </row>
    <row r="48" spans="1:35" s="167" customFormat="1" ht="13.5" customHeight="1">
      <c r="A48" s="322"/>
      <c r="B48" s="859" t="s">
        <v>323</v>
      </c>
      <c r="C48" s="337" t="s">
        <v>43</v>
      </c>
      <c r="D48" s="338">
        <v>1766</v>
      </c>
      <c r="E48" s="338">
        <v>2365</v>
      </c>
      <c r="F48" s="338">
        <v>2486</v>
      </c>
      <c r="G48" s="338">
        <v>6158</v>
      </c>
      <c r="H48" s="338">
        <v>71242</v>
      </c>
      <c r="I48" s="648">
        <v>3716</v>
      </c>
      <c r="J48" s="648">
        <v>2200</v>
      </c>
      <c r="K48" s="339">
        <f>ROUND(((J48/I48-1)*100), 1)</f>
        <v>-40.799999999999997</v>
      </c>
      <c r="L48" s="392">
        <f t="shared" ref="L48:M54" si="94">O48-I48</f>
        <v>3715</v>
      </c>
      <c r="M48" s="550">
        <f t="shared" si="94"/>
        <v>2258</v>
      </c>
      <c r="N48" s="339">
        <f>ROUND(((M48/L48-1)*100), 1)</f>
        <v>-39.200000000000003</v>
      </c>
      <c r="O48" s="550">
        <v>7431</v>
      </c>
      <c r="P48" s="550">
        <v>4458</v>
      </c>
      <c r="Q48" s="339">
        <f>ROUND(((P48/O48-1)*100), 1)</f>
        <v>-40</v>
      </c>
      <c r="R48" s="566">
        <f t="shared" si="89"/>
        <v>4550</v>
      </c>
      <c r="S48" s="550">
        <f t="shared" si="90"/>
        <v>5331</v>
      </c>
      <c r="T48" s="339">
        <f>ROUND(((S48/R48-1)*100), 1)</f>
        <v>17.2</v>
      </c>
      <c r="U48" s="713">
        <v>11981</v>
      </c>
      <c r="V48" s="550">
        <v>9789</v>
      </c>
      <c r="W48" s="339">
        <f>ROUND(((V48/U48-1)*100), 1)</f>
        <v>-18.3</v>
      </c>
      <c r="X48" s="392">
        <f t="shared" ref="X48:X56" si="95">AA48-U48</f>
        <v>3534</v>
      </c>
      <c r="Y48" s="550">
        <f t="shared" si="91"/>
        <v>5550</v>
      </c>
      <c r="Z48" s="339">
        <f>ROUND(((Y48/X48-1)*100), 1)</f>
        <v>57</v>
      </c>
      <c r="AA48" s="723">
        <v>15515</v>
      </c>
      <c r="AB48" s="648">
        <v>15339</v>
      </c>
      <c r="AC48" s="339">
        <f>ROUND(((AB48/AA48-1)*100), 1)</f>
        <v>-1.1000000000000001</v>
      </c>
      <c r="AD48" s="713">
        <f t="shared" ref="AD48:AE49" si="96">AG48-AA48</f>
        <v>5296</v>
      </c>
      <c r="AE48" s="566">
        <f t="shared" si="96"/>
        <v>7189</v>
      </c>
      <c r="AF48" s="339">
        <f>ROUND(((AE48/AD48-1)*100), 1)</f>
        <v>35.700000000000003</v>
      </c>
      <c r="AG48" s="713">
        <v>20811</v>
      </c>
      <c r="AH48" s="550">
        <v>22528</v>
      </c>
      <c r="AI48" s="339">
        <f t="shared" si="93"/>
        <v>8.3000000000000007</v>
      </c>
    </row>
    <row r="49" spans="1:35" s="167" customFormat="1" ht="13.5" customHeight="1">
      <c r="A49" s="322"/>
      <c r="B49" s="860"/>
      <c r="C49" s="329" t="s">
        <v>110</v>
      </c>
      <c r="D49" s="325">
        <v>0</v>
      </c>
      <c r="E49" s="325">
        <v>1071</v>
      </c>
      <c r="F49" s="325">
        <v>3897</v>
      </c>
      <c r="G49" s="325">
        <v>4979</v>
      </c>
      <c r="H49" s="325">
        <v>4867</v>
      </c>
      <c r="I49" s="646">
        <v>342</v>
      </c>
      <c r="J49" s="646">
        <v>0</v>
      </c>
      <c r="K49" s="331">
        <f>ROUND(((J49/I49-1)*100), 1)</f>
        <v>-100</v>
      </c>
      <c r="L49" s="390">
        <f t="shared" si="94"/>
        <v>470</v>
      </c>
      <c r="M49" s="549">
        <f t="shared" si="94"/>
        <v>306</v>
      </c>
      <c r="N49" s="331">
        <f>ROUND(((M49/L49-1)*100), 1)</f>
        <v>-34.9</v>
      </c>
      <c r="O49" s="549">
        <v>812</v>
      </c>
      <c r="P49" s="549">
        <v>306</v>
      </c>
      <c r="Q49" s="545">
        <f>ROUND(((P49/O49-1)*100), 1)</f>
        <v>-62.3</v>
      </c>
      <c r="R49" s="565">
        <f t="shared" si="89"/>
        <v>679</v>
      </c>
      <c r="S49" s="549">
        <f t="shared" si="90"/>
        <v>407</v>
      </c>
      <c r="T49" s="331">
        <f>ROUND(((S49/R49-1)*100), 1)</f>
        <v>-40.1</v>
      </c>
      <c r="U49" s="714">
        <v>1491</v>
      </c>
      <c r="V49" s="549">
        <v>713</v>
      </c>
      <c r="W49" s="331">
        <f>ROUND(((V49/U49-1)*100), 1)</f>
        <v>-52.2</v>
      </c>
      <c r="X49" s="390">
        <f t="shared" si="95"/>
        <v>0</v>
      </c>
      <c r="Y49" s="549">
        <f t="shared" si="91"/>
        <v>0</v>
      </c>
      <c r="Z49" s="570">
        <v>0</v>
      </c>
      <c r="AA49" s="724">
        <v>1491</v>
      </c>
      <c r="AB49" s="646">
        <v>713</v>
      </c>
      <c r="AC49" s="331">
        <f>ROUND(((AB49/AA49-1)*100), 1)</f>
        <v>-52.2</v>
      </c>
      <c r="AD49" s="714">
        <f t="shared" si="96"/>
        <v>328</v>
      </c>
      <c r="AE49" s="565">
        <f t="shared" si="96"/>
        <v>26</v>
      </c>
      <c r="AF49" s="331">
        <f>ROUND(((AE49/AD49-1)*100), 1)</f>
        <v>-92.1</v>
      </c>
      <c r="AG49" s="714">
        <v>1819</v>
      </c>
      <c r="AH49" s="549">
        <v>739</v>
      </c>
      <c r="AI49" s="331">
        <f t="shared" si="93"/>
        <v>-59.4</v>
      </c>
    </row>
    <row r="50" spans="1:35" s="167" customFormat="1" ht="13.5" customHeight="1">
      <c r="A50" s="322"/>
      <c r="B50" s="860"/>
      <c r="C50" s="329" t="s">
        <v>48</v>
      </c>
      <c r="D50" s="325">
        <v>1822</v>
      </c>
      <c r="E50" s="325">
        <v>1580</v>
      </c>
      <c r="F50" s="325">
        <v>2324</v>
      </c>
      <c r="G50" s="325">
        <v>2712</v>
      </c>
      <c r="H50" s="325">
        <v>2473</v>
      </c>
      <c r="I50" s="646">
        <v>156</v>
      </c>
      <c r="J50" s="646">
        <v>210</v>
      </c>
      <c r="K50" s="331">
        <f>ROUND(((J50/I50-1)*100), 1)</f>
        <v>34.6</v>
      </c>
      <c r="L50" s="390">
        <f t="shared" si="94"/>
        <v>236</v>
      </c>
      <c r="M50" s="549">
        <f t="shared" si="94"/>
        <v>436</v>
      </c>
      <c r="N50" s="331">
        <f>ROUND(((M50/L50-1)*100), 1)</f>
        <v>84.7</v>
      </c>
      <c r="O50" s="549">
        <v>392</v>
      </c>
      <c r="P50" s="549">
        <v>646</v>
      </c>
      <c r="Q50" s="545">
        <f t="shared" ref="Q50:Q58" si="97">ROUND(((P50/O50-1)*100), 1)</f>
        <v>64.8</v>
      </c>
      <c r="R50" s="565">
        <f t="shared" si="89"/>
        <v>195</v>
      </c>
      <c r="S50" s="549">
        <f t="shared" si="90"/>
        <v>116</v>
      </c>
      <c r="T50" s="331">
        <f>ROUND(((S50/R50-1)*100), 1)</f>
        <v>-40.5</v>
      </c>
      <c r="U50" s="714">
        <v>587</v>
      </c>
      <c r="V50" s="549">
        <v>762</v>
      </c>
      <c r="W50" s="331">
        <f>ROUND(((V50/U50-1)*100), 1)</f>
        <v>29.8</v>
      </c>
      <c r="X50" s="565">
        <f t="shared" si="95"/>
        <v>46</v>
      </c>
      <c r="Y50" s="549">
        <f t="shared" si="91"/>
        <v>0</v>
      </c>
      <c r="Z50" s="331">
        <f>ROUND(((Y50/X50-1)*100), 1)</f>
        <v>-100</v>
      </c>
      <c r="AA50" s="724">
        <v>633</v>
      </c>
      <c r="AB50" s="646">
        <v>762</v>
      </c>
      <c r="AC50" s="331">
        <f>ROUND(((AB50/AA50-1)*100), 1)</f>
        <v>20.399999999999999</v>
      </c>
      <c r="AD50" s="714">
        <f t="shared" ref="AD50:AE56" si="98">AG50-AA50</f>
        <v>139</v>
      </c>
      <c r="AE50" s="565">
        <f t="shared" si="98"/>
        <v>0</v>
      </c>
      <c r="AF50" s="545">
        <f t="shared" ref="AF50:AF54" si="99">ROUND(((AE50/AD50-1)*100), 1)</f>
        <v>-100</v>
      </c>
      <c r="AG50" s="714">
        <v>772</v>
      </c>
      <c r="AH50" s="549">
        <v>762</v>
      </c>
      <c r="AI50" s="331">
        <f t="shared" si="93"/>
        <v>-1.3</v>
      </c>
    </row>
    <row r="51" spans="1:35" s="167" customFormat="1" ht="13.5" customHeight="1">
      <c r="A51" s="322"/>
      <c r="B51" s="860"/>
      <c r="C51" s="329" t="s">
        <v>442</v>
      </c>
      <c r="D51" s="325">
        <v>0</v>
      </c>
      <c r="E51" s="325">
        <v>0</v>
      </c>
      <c r="F51" s="325">
        <v>0</v>
      </c>
      <c r="G51" s="325">
        <v>1208</v>
      </c>
      <c r="H51" s="325">
        <v>1869</v>
      </c>
      <c r="I51" s="646">
        <v>0</v>
      </c>
      <c r="J51" s="646">
        <v>122</v>
      </c>
      <c r="K51" s="545" t="e">
        <f t="shared" ref="K51:K55" si="100">ROUND(((J51/I51-1)*100), 1)</f>
        <v>#DIV/0!</v>
      </c>
      <c r="L51" s="390">
        <f t="shared" si="94"/>
        <v>0</v>
      </c>
      <c r="M51" s="549">
        <f t="shared" si="94"/>
        <v>143</v>
      </c>
      <c r="N51" s="570">
        <v>0</v>
      </c>
      <c r="O51" s="549">
        <v>0</v>
      </c>
      <c r="P51" s="549">
        <v>265</v>
      </c>
      <c r="Q51" s="570">
        <v>0</v>
      </c>
      <c r="R51" s="565">
        <f t="shared" ref="R51:R57" si="101">U51-O51</f>
        <v>147</v>
      </c>
      <c r="S51" s="549">
        <f t="shared" ref="S51:S57" si="102">V51-P51</f>
        <v>0</v>
      </c>
      <c r="T51" s="545">
        <f t="shared" ref="T51:T55" si="103">ROUND(((S51/R51-1)*100), 1)</f>
        <v>-100</v>
      </c>
      <c r="U51" s="714">
        <v>147</v>
      </c>
      <c r="V51" s="549">
        <v>265</v>
      </c>
      <c r="W51" s="545">
        <f t="shared" ref="W51:W55" si="104">ROUND(((V51/U51-1)*100), 1)</f>
        <v>80.3</v>
      </c>
      <c r="X51" s="565">
        <f t="shared" si="95"/>
        <v>0</v>
      </c>
      <c r="Y51" s="549">
        <f t="shared" si="91"/>
        <v>0</v>
      </c>
      <c r="Z51" s="570">
        <v>0</v>
      </c>
      <c r="AA51" s="724">
        <v>147</v>
      </c>
      <c r="AB51" s="646">
        <v>265</v>
      </c>
      <c r="AC51" s="545">
        <f t="shared" ref="AC51:AC55" si="105">ROUND(((AB51/AA51-1)*100), 1)</f>
        <v>80.3</v>
      </c>
      <c r="AD51" s="714">
        <f t="shared" si="98"/>
        <v>637</v>
      </c>
      <c r="AE51" s="565">
        <f t="shared" si="98"/>
        <v>220</v>
      </c>
      <c r="AF51" s="545">
        <f t="shared" si="99"/>
        <v>-65.5</v>
      </c>
      <c r="AG51" s="714">
        <v>784</v>
      </c>
      <c r="AH51" s="549">
        <v>485</v>
      </c>
      <c r="AI51" s="545">
        <f t="shared" si="93"/>
        <v>-38.1</v>
      </c>
    </row>
    <row r="52" spans="1:35" s="167" customFormat="1" ht="13.5" customHeight="1">
      <c r="A52" s="322"/>
      <c r="B52" s="860"/>
      <c r="C52" s="329" t="s">
        <v>44</v>
      </c>
      <c r="D52" s="325">
        <v>1230</v>
      </c>
      <c r="E52" s="325">
        <v>1093</v>
      </c>
      <c r="F52" s="325">
        <v>3869</v>
      </c>
      <c r="G52" s="325">
        <v>2895</v>
      </c>
      <c r="H52" s="325">
        <v>1446</v>
      </c>
      <c r="I52" s="646">
        <v>69</v>
      </c>
      <c r="J52" s="646">
        <v>166</v>
      </c>
      <c r="K52" s="545">
        <f t="shared" si="100"/>
        <v>140.6</v>
      </c>
      <c r="L52" s="390">
        <f t="shared" si="94"/>
        <v>290</v>
      </c>
      <c r="M52" s="549">
        <f t="shared" si="94"/>
        <v>137</v>
      </c>
      <c r="N52" s="545">
        <f t="shared" ref="N52:N55" si="106">ROUND(((M52/L52-1)*100), 1)</f>
        <v>-52.8</v>
      </c>
      <c r="O52" s="549">
        <v>359</v>
      </c>
      <c r="P52" s="549">
        <v>303</v>
      </c>
      <c r="Q52" s="545">
        <f t="shared" si="97"/>
        <v>-15.6</v>
      </c>
      <c r="R52" s="565">
        <f t="shared" si="101"/>
        <v>225</v>
      </c>
      <c r="S52" s="549">
        <f t="shared" si="102"/>
        <v>198</v>
      </c>
      <c r="T52" s="545">
        <f t="shared" si="103"/>
        <v>-12</v>
      </c>
      <c r="U52" s="714">
        <v>584</v>
      </c>
      <c r="V52" s="549">
        <v>501</v>
      </c>
      <c r="W52" s="545">
        <f t="shared" si="104"/>
        <v>-14.2</v>
      </c>
      <c r="X52" s="565">
        <f t="shared" si="95"/>
        <v>155</v>
      </c>
      <c r="Y52" s="549">
        <f t="shared" si="91"/>
        <v>219</v>
      </c>
      <c r="Z52" s="545">
        <f>ROUND(((Y52/X52-1)*100), 1)</f>
        <v>41.3</v>
      </c>
      <c r="AA52" s="724">
        <v>739</v>
      </c>
      <c r="AB52" s="646">
        <v>720</v>
      </c>
      <c r="AC52" s="545">
        <f t="shared" si="105"/>
        <v>-2.6</v>
      </c>
      <c r="AD52" s="714">
        <f t="shared" si="98"/>
        <v>53</v>
      </c>
      <c r="AE52" s="565">
        <f t="shared" si="98"/>
        <v>145</v>
      </c>
      <c r="AF52" s="545">
        <f t="shared" si="99"/>
        <v>173.6</v>
      </c>
      <c r="AG52" s="714">
        <v>792</v>
      </c>
      <c r="AH52" s="549">
        <v>865</v>
      </c>
      <c r="AI52" s="545">
        <f t="shared" si="93"/>
        <v>9.1999999999999993</v>
      </c>
    </row>
    <row r="53" spans="1:35" s="167" customFormat="1" ht="13.5" customHeight="1">
      <c r="A53" s="322"/>
      <c r="B53" s="860"/>
      <c r="C53" s="101" t="s">
        <v>96</v>
      </c>
      <c r="D53" s="94">
        <v>3009</v>
      </c>
      <c r="E53" s="94">
        <v>3766</v>
      </c>
      <c r="F53" s="94">
        <v>0</v>
      </c>
      <c r="G53" s="94">
        <v>270</v>
      </c>
      <c r="H53" s="94">
        <v>1062</v>
      </c>
      <c r="I53" s="642">
        <v>0</v>
      </c>
      <c r="J53" s="642">
        <v>483</v>
      </c>
      <c r="K53" s="545" t="e">
        <f t="shared" si="100"/>
        <v>#DIV/0!</v>
      </c>
      <c r="L53" s="564">
        <f t="shared" si="94"/>
        <v>0</v>
      </c>
      <c r="M53" s="547">
        <f t="shared" si="94"/>
        <v>384</v>
      </c>
      <c r="N53" s="570">
        <v>0</v>
      </c>
      <c r="O53" s="547">
        <v>0</v>
      </c>
      <c r="P53" s="547">
        <v>867</v>
      </c>
      <c r="Q53" s="570">
        <v>0</v>
      </c>
      <c r="R53" s="565">
        <f t="shared" si="101"/>
        <v>0</v>
      </c>
      <c r="S53" s="549">
        <f t="shared" si="102"/>
        <v>630</v>
      </c>
      <c r="T53" s="570">
        <v>0</v>
      </c>
      <c r="U53" s="714">
        <v>0</v>
      </c>
      <c r="V53" s="549">
        <v>1497</v>
      </c>
      <c r="W53" s="570">
        <v>0</v>
      </c>
      <c r="X53" s="565">
        <f t="shared" si="95"/>
        <v>0</v>
      </c>
      <c r="Y53" s="549">
        <f t="shared" si="91"/>
        <v>870</v>
      </c>
      <c r="Z53" s="570">
        <v>0</v>
      </c>
      <c r="AA53" s="724">
        <v>0</v>
      </c>
      <c r="AB53" s="646">
        <v>2367</v>
      </c>
      <c r="AC53" s="545"/>
      <c r="AD53" s="714">
        <f t="shared" si="98"/>
        <v>0</v>
      </c>
      <c r="AE53" s="565">
        <f t="shared" si="98"/>
        <v>316</v>
      </c>
      <c r="AF53" s="570">
        <v>0</v>
      </c>
      <c r="AG53" s="714">
        <v>0</v>
      </c>
      <c r="AH53" s="549">
        <v>2683</v>
      </c>
      <c r="AI53" s="570">
        <v>0</v>
      </c>
    </row>
    <row r="54" spans="1:35" s="167" customFormat="1" ht="13.5" customHeight="1">
      <c r="A54" s="322"/>
      <c r="B54" s="860"/>
      <c r="C54" s="329" t="s">
        <v>47</v>
      </c>
      <c r="D54" s="325">
        <v>1967</v>
      </c>
      <c r="E54" s="325">
        <v>1676</v>
      </c>
      <c r="F54" s="325">
        <v>750</v>
      </c>
      <c r="G54" s="325">
        <v>569</v>
      </c>
      <c r="H54" s="325">
        <v>916</v>
      </c>
      <c r="I54" s="646">
        <v>98</v>
      </c>
      <c r="J54" s="646">
        <v>166</v>
      </c>
      <c r="K54" s="545">
        <f t="shared" si="100"/>
        <v>69.400000000000006</v>
      </c>
      <c r="L54" s="390">
        <f t="shared" si="94"/>
        <v>20</v>
      </c>
      <c r="M54" s="549">
        <f t="shared" si="94"/>
        <v>59</v>
      </c>
      <c r="N54" s="545">
        <f t="shared" si="106"/>
        <v>195</v>
      </c>
      <c r="O54" s="549">
        <v>118</v>
      </c>
      <c r="P54" s="549">
        <v>225</v>
      </c>
      <c r="Q54" s="545">
        <f t="shared" si="97"/>
        <v>90.7</v>
      </c>
      <c r="R54" s="565">
        <f t="shared" si="101"/>
        <v>99</v>
      </c>
      <c r="S54" s="549">
        <f t="shared" si="102"/>
        <v>136</v>
      </c>
      <c r="T54" s="545">
        <f t="shared" si="103"/>
        <v>37.4</v>
      </c>
      <c r="U54" s="714">
        <v>217</v>
      </c>
      <c r="V54" s="549">
        <v>361</v>
      </c>
      <c r="W54" s="545">
        <f t="shared" si="104"/>
        <v>66.400000000000006</v>
      </c>
      <c r="X54" s="565">
        <f t="shared" si="95"/>
        <v>60</v>
      </c>
      <c r="Y54" s="549">
        <f t="shared" si="91"/>
        <v>61</v>
      </c>
      <c r="Z54" s="545">
        <f>ROUND(((Y54/X54-1)*100), 1)</f>
        <v>1.7</v>
      </c>
      <c r="AA54" s="724">
        <v>277</v>
      </c>
      <c r="AB54" s="646">
        <v>422</v>
      </c>
      <c r="AC54" s="545">
        <f t="shared" si="105"/>
        <v>52.3</v>
      </c>
      <c r="AD54" s="714">
        <f t="shared" si="98"/>
        <v>39</v>
      </c>
      <c r="AE54" s="565">
        <f t="shared" si="98"/>
        <v>80</v>
      </c>
      <c r="AF54" s="545">
        <f t="shared" si="99"/>
        <v>105.1</v>
      </c>
      <c r="AG54" s="714">
        <v>316</v>
      </c>
      <c r="AH54" s="549">
        <v>502</v>
      </c>
      <c r="AI54" s="545">
        <f>ROUND(((AH54/AG54-1)*100), 1)</f>
        <v>58.9</v>
      </c>
    </row>
    <row r="55" spans="1:35" s="167" customFormat="1" ht="13.5" customHeight="1">
      <c r="A55" s="322"/>
      <c r="B55" s="860"/>
      <c r="C55" s="329" t="s">
        <v>529</v>
      </c>
      <c r="D55" s="325">
        <v>2</v>
      </c>
      <c r="E55" s="325">
        <v>20</v>
      </c>
      <c r="F55" s="325">
        <v>0</v>
      </c>
      <c r="G55" s="325">
        <v>0</v>
      </c>
      <c r="H55" s="325">
        <v>426</v>
      </c>
      <c r="I55" s="646">
        <v>137</v>
      </c>
      <c r="J55" s="646">
        <v>2</v>
      </c>
      <c r="K55" s="545">
        <f t="shared" si="100"/>
        <v>-98.5</v>
      </c>
      <c r="L55" s="565">
        <f t="shared" ref="L55:L57" si="107">O55-I55</f>
        <v>123</v>
      </c>
      <c r="M55" s="549">
        <f t="shared" ref="M55:M57" si="108">P55-J55</f>
        <v>0</v>
      </c>
      <c r="N55" s="545">
        <f t="shared" si="106"/>
        <v>-100</v>
      </c>
      <c r="O55" s="549">
        <v>260</v>
      </c>
      <c r="P55" s="549">
        <v>2</v>
      </c>
      <c r="Q55" s="545">
        <f t="shared" si="97"/>
        <v>-99.2</v>
      </c>
      <c r="R55" s="565">
        <f t="shared" si="101"/>
        <v>41</v>
      </c>
      <c r="S55" s="549">
        <f t="shared" si="102"/>
        <v>0</v>
      </c>
      <c r="T55" s="545">
        <f t="shared" si="103"/>
        <v>-100</v>
      </c>
      <c r="U55" s="714">
        <v>301</v>
      </c>
      <c r="V55" s="549">
        <v>2</v>
      </c>
      <c r="W55" s="545">
        <f t="shared" si="104"/>
        <v>-99.3</v>
      </c>
      <c r="X55" s="565">
        <f t="shared" si="95"/>
        <v>0</v>
      </c>
      <c r="Y55" s="549">
        <f t="shared" si="91"/>
        <v>0</v>
      </c>
      <c r="Z55" s="570">
        <v>0</v>
      </c>
      <c r="AA55" s="724">
        <v>301</v>
      </c>
      <c r="AB55" s="646">
        <v>2</v>
      </c>
      <c r="AC55" s="545">
        <f t="shared" si="105"/>
        <v>-99.3</v>
      </c>
      <c r="AD55" s="714">
        <f t="shared" si="98"/>
        <v>0</v>
      </c>
      <c r="AE55" s="565">
        <f t="shared" si="98"/>
        <v>0</v>
      </c>
      <c r="AF55" s="570">
        <v>0</v>
      </c>
      <c r="AG55" s="714">
        <v>301</v>
      </c>
      <c r="AH55" s="549">
        <v>2</v>
      </c>
      <c r="AI55" s="545">
        <f>ROUND(((AH55/AG55-1)*100), 1)</f>
        <v>-99.3</v>
      </c>
    </row>
    <row r="56" spans="1:35" s="167" customFormat="1" ht="13.5" customHeight="1">
      <c r="A56" s="322"/>
      <c r="B56" s="860"/>
      <c r="C56" s="329" t="s">
        <v>531</v>
      </c>
      <c r="D56" s="325">
        <v>0</v>
      </c>
      <c r="E56" s="325">
        <v>0</v>
      </c>
      <c r="F56" s="325">
        <v>24</v>
      </c>
      <c r="G56" s="325">
        <v>0</v>
      </c>
      <c r="H56" s="325">
        <v>175</v>
      </c>
      <c r="I56" s="646">
        <v>0</v>
      </c>
      <c r="J56" s="646">
        <v>0</v>
      </c>
      <c r="K56" s="570">
        <v>0</v>
      </c>
      <c r="L56" s="565">
        <f t="shared" si="107"/>
        <v>0</v>
      </c>
      <c r="M56" s="549">
        <f t="shared" si="108"/>
        <v>0</v>
      </c>
      <c r="N56" s="570">
        <v>0</v>
      </c>
      <c r="O56" s="549">
        <v>0</v>
      </c>
      <c r="P56" s="549">
        <v>0</v>
      </c>
      <c r="Q56" s="570">
        <v>0</v>
      </c>
      <c r="R56" s="565">
        <f t="shared" si="101"/>
        <v>0</v>
      </c>
      <c r="S56" s="549">
        <f t="shared" si="102"/>
        <v>0</v>
      </c>
      <c r="T56" s="570">
        <v>0</v>
      </c>
      <c r="U56" s="714">
        <v>0</v>
      </c>
      <c r="V56" s="549">
        <v>0</v>
      </c>
      <c r="W56" s="570">
        <v>0</v>
      </c>
      <c r="X56" s="565">
        <f t="shared" si="95"/>
        <v>0</v>
      </c>
      <c r="Y56" s="549">
        <f t="shared" si="91"/>
        <v>103</v>
      </c>
      <c r="Z56" s="570">
        <v>0</v>
      </c>
      <c r="AA56" s="724">
        <v>0</v>
      </c>
      <c r="AB56" s="646">
        <v>103</v>
      </c>
      <c r="AC56" s="545"/>
      <c r="AD56" s="714">
        <f t="shared" si="98"/>
        <v>0</v>
      </c>
      <c r="AE56" s="565">
        <f t="shared" si="98"/>
        <v>49</v>
      </c>
      <c r="AF56" s="570">
        <v>0</v>
      </c>
      <c r="AG56" s="714">
        <v>0</v>
      </c>
      <c r="AH56" s="549">
        <v>152</v>
      </c>
      <c r="AI56" s="545"/>
    </row>
    <row r="57" spans="1:35" s="167" customFormat="1" ht="13.5" customHeight="1">
      <c r="A57" s="322"/>
      <c r="B57" s="860"/>
      <c r="C57" s="329" t="s">
        <v>45</v>
      </c>
      <c r="D57" s="325">
        <v>0</v>
      </c>
      <c r="E57" s="325">
        <v>25</v>
      </c>
      <c r="F57" s="325">
        <v>1</v>
      </c>
      <c r="G57" s="325">
        <v>305</v>
      </c>
      <c r="H57" s="325">
        <v>0</v>
      </c>
      <c r="I57" s="646">
        <v>0</v>
      </c>
      <c r="J57" s="646">
        <v>0</v>
      </c>
      <c r="K57" s="173">
        <v>0</v>
      </c>
      <c r="L57" s="565">
        <f t="shared" si="107"/>
        <v>0</v>
      </c>
      <c r="M57" s="549">
        <f t="shared" si="108"/>
        <v>0</v>
      </c>
      <c r="N57" s="570">
        <v>0</v>
      </c>
      <c r="O57" s="549">
        <v>0</v>
      </c>
      <c r="P57" s="549">
        <v>0</v>
      </c>
      <c r="Q57" s="570">
        <v>0</v>
      </c>
      <c r="R57" s="565">
        <f t="shared" si="101"/>
        <v>0</v>
      </c>
      <c r="S57" s="549">
        <f t="shared" si="102"/>
        <v>0</v>
      </c>
      <c r="T57" s="570">
        <v>0</v>
      </c>
      <c r="U57" s="714">
        <v>0</v>
      </c>
      <c r="V57" s="549">
        <v>0</v>
      </c>
      <c r="W57" s="570">
        <v>0</v>
      </c>
      <c r="X57" s="565">
        <f>AA57-U57</f>
        <v>0</v>
      </c>
      <c r="Y57" s="549">
        <f t="shared" si="91"/>
        <v>0</v>
      </c>
      <c r="Z57" s="570">
        <v>0</v>
      </c>
      <c r="AA57" s="724">
        <v>0</v>
      </c>
      <c r="AB57" s="646">
        <v>0</v>
      </c>
      <c r="AC57" s="570">
        <v>0</v>
      </c>
      <c r="AD57" s="714">
        <f>AG57-AA57</f>
        <v>0</v>
      </c>
      <c r="AE57" s="565">
        <f>AH57-AB57</f>
        <v>0</v>
      </c>
      <c r="AF57" s="570">
        <v>0</v>
      </c>
      <c r="AG57" s="714">
        <v>0</v>
      </c>
      <c r="AH57" s="549">
        <v>0</v>
      </c>
      <c r="AI57" s="570">
        <v>0</v>
      </c>
    </row>
    <row r="58" spans="1:35" ht="13.5" customHeight="1">
      <c r="A58" s="92"/>
      <c r="B58" s="860"/>
      <c r="C58" s="101" t="s">
        <v>18</v>
      </c>
      <c r="D58" s="94">
        <f t="shared" ref="D58:J58" si="109">D59-SUM(D48:D57)</f>
        <v>146</v>
      </c>
      <c r="E58" s="94">
        <f t="shared" si="109"/>
        <v>5</v>
      </c>
      <c r="F58" s="94">
        <f t="shared" si="109"/>
        <v>386</v>
      </c>
      <c r="G58" s="94">
        <f t="shared" si="109"/>
        <v>126</v>
      </c>
      <c r="H58" s="94">
        <f t="shared" si="109"/>
        <v>210</v>
      </c>
      <c r="I58" s="642">
        <f t="shared" si="109"/>
        <v>5</v>
      </c>
      <c r="J58" s="642">
        <f t="shared" si="109"/>
        <v>0</v>
      </c>
      <c r="K58" s="541">
        <f t="shared" ref="K58" si="110">ROUND(((J58/I58-1)*100), 1)</f>
        <v>-100</v>
      </c>
      <c r="L58" s="388">
        <f>L59-SUM(L48:L57)</f>
        <v>92</v>
      </c>
      <c r="M58" s="547">
        <f>M59-SUM(M48:M57)</f>
        <v>0</v>
      </c>
      <c r="N58" s="541">
        <f>ROUND(((M58/L58-1)*100), 1)</f>
        <v>-100</v>
      </c>
      <c r="O58" s="547">
        <f>O59-SUM(O48:O57)</f>
        <v>97</v>
      </c>
      <c r="P58" s="547">
        <f>P59-SUM(P48:P57)</f>
        <v>0</v>
      </c>
      <c r="Q58" s="702">
        <f t="shared" si="97"/>
        <v>-100</v>
      </c>
      <c r="R58" s="564">
        <f>R59-SUM(R48:R57)</f>
        <v>84</v>
      </c>
      <c r="S58" s="547">
        <f>S59-SUM(S48:S57)</f>
        <v>75</v>
      </c>
      <c r="T58" s="255">
        <f t="shared" ref="T58" si="111">ROUND(((S58/R58-1)*100), 1)</f>
        <v>-10.7</v>
      </c>
      <c r="U58" s="547">
        <f>U59-SUM(U48:U57)</f>
        <v>181</v>
      </c>
      <c r="V58" s="547">
        <f>V59-SUM(V48:V57)</f>
        <v>75</v>
      </c>
      <c r="W58" s="255">
        <f t="shared" ref="W58" si="112">ROUND(((V58/U58-1)*100), 1)</f>
        <v>-58.6</v>
      </c>
      <c r="X58" s="388">
        <f>X59-SUM(X48:X57)</f>
        <v>0</v>
      </c>
      <c r="Y58" s="547">
        <f>Y59-SUM(Y48:Y57)</f>
        <v>0</v>
      </c>
      <c r="Z58" s="466">
        <v>0</v>
      </c>
      <c r="AA58" s="642">
        <f>AA59-SUM(AA48:AA57)</f>
        <v>181</v>
      </c>
      <c r="AB58" s="642">
        <f>AB59-SUM(AB48:AB57)</f>
        <v>75</v>
      </c>
      <c r="AC58" s="255">
        <f t="shared" ref="AC58" si="113">ROUND(((AB58/AA58-1)*100), 1)</f>
        <v>-58.6</v>
      </c>
      <c r="AD58" s="537">
        <f>AD59-SUM(AD48:AD57)</f>
        <v>1</v>
      </c>
      <c r="AE58" s="564">
        <f>AE59-SUM(AE48:AE57)</f>
        <v>0</v>
      </c>
      <c r="AF58" s="255">
        <f t="shared" ref="AF58" si="114">ROUND(((AE58/AD58-1)*100), 1)</f>
        <v>-100</v>
      </c>
      <c r="AG58" s="547">
        <f>AG59-SUM(AG48:AG57)</f>
        <v>182</v>
      </c>
      <c r="AH58" s="547">
        <f>AH59-SUM(AH48:AH57)</f>
        <v>75</v>
      </c>
      <c r="AI58" s="255">
        <f t="shared" ref="AI58" si="115">ROUND(((AH58/AG58-1)*100), 1)</f>
        <v>-58.8</v>
      </c>
    </row>
    <row r="59" spans="1:35" ht="13.5" customHeight="1">
      <c r="A59" s="92"/>
      <c r="B59" s="861"/>
      <c r="C59" s="41" t="s">
        <v>199</v>
      </c>
      <c r="D59" s="95">
        <v>9942</v>
      </c>
      <c r="E59" s="95">
        <v>11601</v>
      </c>
      <c r="F59" s="95">
        <v>13737</v>
      </c>
      <c r="G59" s="95">
        <v>19222</v>
      </c>
      <c r="H59" s="95">
        <v>84686</v>
      </c>
      <c r="I59" s="644">
        <v>4523</v>
      </c>
      <c r="J59" s="644">
        <v>3349</v>
      </c>
      <c r="K59" s="251">
        <f>ROUND(((J59/I59-1)*100), 1)</f>
        <v>-26</v>
      </c>
      <c r="L59" s="391">
        <f t="shared" si="88"/>
        <v>4946</v>
      </c>
      <c r="M59" s="548">
        <f t="shared" si="88"/>
        <v>3723</v>
      </c>
      <c r="N59" s="259">
        <f>ROUND(((M59/L59-1)*100), 1)</f>
        <v>-24.7</v>
      </c>
      <c r="O59" s="548">
        <v>9469</v>
      </c>
      <c r="P59" s="548">
        <v>7072</v>
      </c>
      <c r="Q59" s="259">
        <f>ROUND(((P59/O59-1)*100), 1)</f>
        <v>-25.3</v>
      </c>
      <c r="R59" s="556">
        <f t="shared" ref="R59" si="116">U59-O59</f>
        <v>6020</v>
      </c>
      <c r="S59" s="548">
        <f t="shared" ref="S59" si="117">V59-P59</f>
        <v>6893</v>
      </c>
      <c r="T59" s="259">
        <f>ROUND(((S59/R59-1)*100), 1)</f>
        <v>14.5</v>
      </c>
      <c r="U59" s="548">
        <v>15489</v>
      </c>
      <c r="V59" s="548">
        <v>13965</v>
      </c>
      <c r="W59" s="259">
        <f>ROUND(((V59/U59-1)*100), 1)</f>
        <v>-9.8000000000000007</v>
      </c>
      <c r="X59" s="391">
        <f t="shared" ref="X59:Y59" si="118">AA59-U59</f>
        <v>3795</v>
      </c>
      <c r="Y59" s="548">
        <f t="shared" si="118"/>
        <v>6803</v>
      </c>
      <c r="Z59" s="259">
        <f>ROUND(((Y59/X59-1)*100), 1)</f>
        <v>79.3</v>
      </c>
      <c r="AA59" s="644">
        <v>19284</v>
      </c>
      <c r="AB59" s="644">
        <v>20768</v>
      </c>
      <c r="AC59" s="259">
        <f>ROUND(((AB59/AA59-1)*100), 1)</f>
        <v>7.7</v>
      </c>
      <c r="AD59" s="703">
        <f t="shared" ref="AD59:AE59" si="119">AG59-AA59</f>
        <v>6493</v>
      </c>
      <c r="AE59" s="556">
        <f t="shared" si="119"/>
        <v>8025</v>
      </c>
      <c r="AF59" s="259">
        <f>ROUND(((AE59/AD59-1)*100), 1)</f>
        <v>23.6</v>
      </c>
      <c r="AG59" s="548">
        <v>25777</v>
      </c>
      <c r="AH59" s="548">
        <v>28793</v>
      </c>
      <c r="AI59" s="259">
        <f>ROUND(((AH59/AG59-1)*100), 1)</f>
        <v>11.7</v>
      </c>
    </row>
    <row r="60" spans="1:35" ht="13.5" customHeight="1">
      <c r="A60" s="8"/>
      <c r="B60" s="844" t="s">
        <v>32</v>
      </c>
      <c r="C60" s="828"/>
      <c r="D60" s="103">
        <f t="shared" ref="D60:J60" si="120">SUM(D12+D28+D47+D59)</f>
        <v>93607</v>
      </c>
      <c r="E60" s="103">
        <f t="shared" si="120"/>
        <v>133260</v>
      </c>
      <c r="F60" s="103">
        <f t="shared" si="120"/>
        <v>216004</v>
      </c>
      <c r="G60" s="103">
        <f t="shared" si="120"/>
        <v>216968</v>
      </c>
      <c r="H60" s="551">
        <f t="shared" si="120"/>
        <v>360554</v>
      </c>
      <c r="I60" s="649">
        <f t="shared" si="120"/>
        <v>24433</v>
      </c>
      <c r="J60" s="649">
        <f t="shared" si="120"/>
        <v>25171</v>
      </c>
      <c r="K60" s="259">
        <f>ROUND(((J60/I60-1)*100), 1)</f>
        <v>3</v>
      </c>
      <c r="L60" s="104">
        <f>O60-I60</f>
        <v>28631</v>
      </c>
      <c r="M60" s="551">
        <f>P60-J60</f>
        <v>22413</v>
      </c>
      <c r="N60" s="259">
        <f>ROUND(((M60/L60-1)*100), 1)</f>
        <v>-21.7</v>
      </c>
      <c r="O60" s="551">
        <f>SUM(O12+O28+O47+O59)</f>
        <v>53064</v>
      </c>
      <c r="P60" s="551">
        <f>SUM(P12+P28+P47+P59)</f>
        <v>47584</v>
      </c>
      <c r="Q60" s="259">
        <f>ROUND(((P60/O60-1)*100), 1)</f>
        <v>-10.3</v>
      </c>
      <c r="R60" s="538">
        <f>U60-O60</f>
        <v>27028</v>
      </c>
      <c r="S60" s="551">
        <f>V60-P60</f>
        <v>36612</v>
      </c>
      <c r="T60" s="259">
        <f>ROUND(((S60/R60-1)*100), 1)</f>
        <v>35.5</v>
      </c>
      <c r="U60" s="551">
        <f>SUM(U12+U28+U47+U59)</f>
        <v>80092</v>
      </c>
      <c r="V60" s="551">
        <f>SUM(V12+V28+V47+V59)</f>
        <v>84196</v>
      </c>
      <c r="W60" s="259">
        <f>ROUND(((V60/U60-1)*100), 1)</f>
        <v>5.0999999999999996</v>
      </c>
      <c r="X60" s="104">
        <f>AA60-U60</f>
        <v>17293</v>
      </c>
      <c r="Y60" s="551">
        <f>AB60-V60</f>
        <v>28372</v>
      </c>
      <c r="Z60" s="259">
        <f>ROUND(((Y60/X60-1)*100), 1)</f>
        <v>64.099999999999994</v>
      </c>
      <c r="AA60" s="649">
        <f>SUM(AA12+AA28+AA47+AA59)</f>
        <v>97385</v>
      </c>
      <c r="AB60" s="649">
        <f>SUM(AB12+AB28+AB47+AB59)</f>
        <v>112568</v>
      </c>
      <c r="AC60" s="259">
        <f>ROUND(((AB60/AA60-1)*100), 1)</f>
        <v>15.6</v>
      </c>
      <c r="AD60" s="672">
        <f>AG60-AA60</f>
        <v>29663</v>
      </c>
      <c r="AE60" s="538">
        <f>AH60-AB60</f>
        <v>32781</v>
      </c>
      <c r="AF60" s="259">
        <f>ROUND(((AE60/AD60-1)*100), 1)</f>
        <v>10.5</v>
      </c>
      <c r="AG60" s="551">
        <f>SUM(AG12+AG28+AG47+AG59)</f>
        <v>127048</v>
      </c>
      <c r="AH60" s="551">
        <f>SUM(AH12+AH28+AH47+AH59)</f>
        <v>145349</v>
      </c>
      <c r="AI60" s="259">
        <f>ROUND(((AH60/AG60-1)*100), 1)</f>
        <v>14.4</v>
      </c>
    </row>
    <row r="61" spans="1:35">
      <c r="K61" s="248"/>
    </row>
    <row r="62" spans="1:35">
      <c r="K62" s="248"/>
    </row>
    <row r="63" spans="1:35">
      <c r="A63" s="26"/>
      <c r="B63" s="26"/>
      <c r="D63" s="71"/>
      <c r="E63" s="71"/>
      <c r="F63" s="266"/>
      <c r="G63" s="266"/>
      <c r="H63" s="567"/>
      <c r="I63" s="624"/>
      <c r="J63" s="624"/>
      <c r="K63" s="249" t="s">
        <v>87</v>
      </c>
      <c r="L63" s="266"/>
      <c r="M63" s="567"/>
      <c r="N63" s="262"/>
      <c r="O63" s="567"/>
      <c r="P63" s="567"/>
      <c r="Q63" s="262" t="s">
        <v>87</v>
      </c>
      <c r="R63" s="567"/>
      <c r="S63" s="567"/>
      <c r="T63" s="262"/>
      <c r="U63" s="567"/>
      <c r="V63" s="567"/>
      <c r="W63" s="262" t="s">
        <v>87</v>
      </c>
      <c r="X63" s="266"/>
      <c r="Y63" s="567"/>
      <c r="Z63" s="262"/>
      <c r="AA63" s="624"/>
      <c r="AB63" s="624"/>
      <c r="AC63" s="262" t="s">
        <v>87</v>
      </c>
      <c r="AD63" s="266"/>
      <c r="AE63" s="567"/>
      <c r="AF63" s="262"/>
      <c r="AG63" s="567"/>
      <c r="AH63" s="567"/>
      <c r="AI63" s="262" t="s">
        <v>87</v>
      </c>
    </row>
    <row r="64" spans="1:35" s="367" customFormat="1" ht="18" customHeight="1">
      <c r="A64" s="733" t="s">
        <v>88</v>
      </c>
      <c r="B64" s="733"/>
      <c r="C64" s="733"/>
      <c r="D64" s="855" t="s">
        <v>2</v>
      </c>
      <c r="E64" s="855" t="s">
        <v>3</v>
      </c>
      <c r="F64" s="855" t="s">
        <v>76</v>
      </c>
      <c r="G64" s="856" t="s">
        <v>294</v>
      </c>
      <c r="H64" s="856" t="s">
        <v>431</v>
      </c>
      <c r="I64" s="854" t="s">
        <v>33</v>
      </c>
      <c r="J64" s="855"/>
      <c r="K64" s="733"/>
      <c r="L64" s="852" t="s">
        <v>553</v>
      </c>
      <c r="M64" s="853"/>
      <c r="N64" s="733"/>
      <c r="O64" s="852" t="s">
        <v>554</v>
      </c>
      <c r="P64" s="853"/>
      <c r="Q64" s="733"/>
      <c r="R64" s="852" t="s">
        <v>555</v>
      </c>
      <c r="S64" s="853"/>
      <c r="T64" s="733"/>
      <c r="U64" s="852" t="s">
        <v>556</v>
      </c>
      <c r="V64" s="853"/>
      <c r="W64" s="733"/>
      <c r="X64" s="852" t="s">
        <v>484</v>
      </c>
      <c r="Y64" s="853"/>
      <c r="Z64" s="733"/>
      <c r="AA64" s="852" t="s">
        <v>486</v>
      </c>
      <c r="AB64" s="853"/>
      <c r="AC64" s="733"/>
      <c r="AD64" s="852" t="s">
        <v>557</v>
      </c>
      <c r="AE64" s="853"/>
      <c r="AF64" s="733"/>
      <c r="AG64" s="852" t="s">
        <v>558</v>
      </c>
      <c r="AH64" s="853"/>
      <c r="AI64" s="733"/>
    </row>
    <row r="65" spans="1:35" s="367" customFormat="1" ht="18" customHeight="1">
      <c r="A65" s="733"/>
      <c r="B65" s="733"/>
      <c r="C65" s="733"/>
      <c r="D65" s="855"/>
      <c r="E65" s="855"/>
      <c r="F65" s="855"/>
      <c r="G65" s="857"/>
      <c r="H65" s="857"/>
      <c r="I65" s="699" t="s">
        <v>431</v>
      </c>
      <c r="J65" s="650" t="s">
        <v>503</v>
      </c>
      <c r="K65" s="688" t="s">
        <v>5</v>
      </c>
      <c r="L65" s="687" t="s">
        <v>431</v>
      </c>
      <c r="M65" s="586" t="s">
        <v>503</v>
      </c>
      <c r="N65" s="688" t="s">
        <v>5</v>
      </c>
      <c r="O65" s="687" t="s">
        <v>431</v>
      </c>
      <c r="P65" s="586" t="s">
        <v>503</v>
      </c>
      <c r="Q65" s="688" t="s">
        <v>5</v>
      </c>
      <c r="R65" s="687" t="s">
        <v>431</v>
      </c>
      <c r="S65" s="586" t="s">
        <v>503</v>
      </c>
      <c r="T65" s="688" t="s">
        <v>5</v>
      </c>
      <c r="U65" s="687" t="s">
        <v>431</v>
      </c>
      <c r="V65" s="586" t="s">
        <v>503</v>
      </c>
      <c r="W65" s="688" t="s">
        <v>5</v>
      </c>
      <c r="X65" s="687" t="s">
        <v>431</v>
      </c>
      <c r="Y65" s="586" t="s">
        <v>503</v>
      </c>
      <c r="Z65" s="688" t="s">
        <v>5</v>
      </c>
      <c r="AA65" s="699" t="s">
        <v>431</v>
      </c>
      <c r="AB65" s="650" t="s">
        <v>503</v>
      </c>
      <c r="AC65" s="688" t="s">
        <v>5</v>
      </c>
      <c r="AD65" s="687" t="s">
        <v>431</v>
      </c>
      <c r="AE65" s="586" t="s">
        <v>503</v>
      </c>
      <c r="AF65" s="688" t="s">
        <v>5</v>
      </c>
      <c r="AG65" s="687" t="s">
        <v>431</v>
      </c>
      <c r="AH65" s="586" t="s">
        <v>503</v>
      </c>
      <c r="AI65" s="688" t="s">
        <v>5</v>
      </c>
    </row>
    <row r="66" spans="1:35">
      <c r="A66" s="92"/>
      <c r="B66" s="859" t="s">
        <v>274</v>
      </c>
      <c r="C66" s="101" t="s">
        <v>45</v>
      </c>
      <c r="D66" s="94">
        <v>278401</v>
      </c>
      <c r="E66" s="94">
        <v>385816</v>
      </c>
      <c r="F66" s="94">
        <v>390858</v>
      </c>
      <c r="G66" s="94">
        <v>400049</v>
      </c>
      <c r="H66" s="94">
        <v>393200</v>
      </c>
      <c r="I66" s="642">
        <v>37692</v>
      </c>
      <c r="J66" s="642">
        <v>41719</v>
      </c>
      <c r="K66" s="255">
        <f t="shared" ref="K66:K83" si="121">ROUND(((J66/I66-1)*100), 1)</f>
        <v>10.7</v>
      </c>
      <c r="L66" s="386">
        <f t="shared" ref="L66:M78" si="122">O66-I66</f>
        <v>29342</v>
      </c>
      <c r="M66" s="547">
        <f t="shared" si="122"/>
        <v>45645</v>
      </c>
      <c r="N66" s="255">
        <f t="shared" ref="N66:N80" si="123">ROUND(((M66/L66-1)*100), 1)</f>
        <v>55.6</v>
      </c>
      <c r="O66" s="547">
        <v>67034</v>
      </c>
      <c r="P66" s="547">
        <v>87364</v>
      </c>
      <c r="Q66" s="255">
        <f t="shared" ref="Q66:Q83" si="124">ROUND(((P66/O66-1)*100), 1)</f>
        <v>30.3</v>
      </c>
      <c r="R66" s="574">
        <f t="shared" ref="R66:R71" si="125">U66-O66</f>
        <v>39074</v>
      </c>
      <c r="S66" s="547">
        <f t="shared" ref="S66:S71" si="126">V66-P66</f>
        <v>54851</v>
      </c>
      <c r="T66" s="255">
        <f t="shared" ref="T66:T71" si="127">ROUND(((S66/R66-1)*100), 1)</f>
        <v>40.4</v>
      </c>
      <c r="U66" s="547">
        <v>106108</v>
      </c>
      <c r="V66" s="547">
        <v>142215</v>
      </c>
      <c r="W66" s="255">
        <f t="shared" ref="W66:W83" si="128">ROUND(((V66/U66-1)*100), 1)</f>
        <v>34</v>
      </c>
      <c r="X66" s="386">
        <f t="shared" ref="X66:Y81" si="129">AA66-U66</f>
        <v>36255</v>
      </c>
      <c r="Y66" s="547">
        <f t="shared" si="129"/>
        <v>57527</v>
      </c>
      <c r="Z66" s="255">
        <f t="shared" ref="Z66:Z81" si="130">ROUND(((Y66/X66-1)*100), 1)</f>
        <v>58.7</v>
      </c>
      <c r="AA66" s="642">
        <v>142363</v>
      </c>
      <c r="AB66" s="642">
        <v>199742</v>
      </c>
      <c r="AC66" s="255">
        <f t="shared" ref="AC66:AC83" si="131">ROUND(((AB66/AA66-1)*100), 1)</f>
        <v>40.299999999999997</v>
      </c>
      <c r="AD66" s="386">
        <f t="shared" ref="AD66:AE70" si="132">AG66-AA66</f>
        <v>32603</v>
      </c>
      <c r="AE66" s="574">
        <f t="shared" si="132"/>
        <v>56350</v>
      </c>
      <c r="AF66" s="255">
        <f t="shared" ref="AF66:AF70" si="133">ROUND(((AE66/AD66-1)*100), 1)</f>
        <v>72.8</v>
      </c>
      <c r="AG66" s="547">
        <v>174966</v>
      </c>
      <c r="AH66" s="547">
        <v>256092</v>
      </c>
      <c r="AI66" s="255">
        <f t="shared" ref="AI66:AI74" si="134">ROUND(((AH66/AG66-1)*100), 1)</f>
        <v>46.4</v>
      </c>
    </row>
    <row r="67" spans="1:35">
      <c r="A67" s="92" t="s">
        <v>103</v>
      </c>
      <c r="B67" s="860"/>
      <c r="C67" s="101" t="s">
        <v>54</v>
      </c>
      <c r="D67" s="94">
        <v>428637</v>
      </c>
      <c r="E67" s="94">
        <v>318656</v>
      </c>
      <c r="F67" s="94">
        <v>283402</v>
      </c>
      <c r="G67" s="94">
        <v>274210</v>
      </c>
      <c r="H67" s="94">
        <v>372816</v>
      </c>
      <c r="I67" s="642">
        <v>24290</v>
      </c>
      <c r="J67" s="642">
        <v>32867</v>
      </c>
      <c r="K67" s="255">
        <f t="shared" si="121"/>
        <v>35.299999999999997</v>
      </c>
      <c r="L67" s="386">
        <f t="shared" si="122"/>
        <v>27306</v>
      </c>
      <c r="M67" s="547">
        <f t="shared" si="122"/>
        <v>20313</v>
      </c>
      <c r="N67" s="255">
        <f t="shared" si="123"/>
        <v>-25.6</v>
      </c>
      <c r="O67" s="547">
        <v>51596</v>
      </c>
      <c r="P67" s="547">
        <v>53180</v>
      </c>
      <c r="Q67" s="255">
        <f t="shared" si="124"/>
        <v>3.1</v>
      </c>
      <c r="R67" s="574">
        <f t="shared" si="125"/>
        <v>27912</v>
      </c>
      <c r="S67" s="547">
        <f t="shared" si="126"/>
        <v>26783</v>
      </c>
      <c r="T67" s="255">
        <f t="shared" si="127"/>
        <v>-4</v>
      </c>
      <c r="U67" s="547">
        <v>79508</v>
      </c>
      <c r="V67" s="547">
        <v>79963</v>
      </c>
      <c r="W67" s="255">
        <f t="shared" si="128"/>
        <v>0.6</v>
      </c>
      <c r="X67" s="386">
        <f t="shared" si="129"/>
        <v>36621</v>
      </c>
      <c r="Y67" s="547">
        <f t="shared" si="129"/>
        <v>24489</v>
      </c>
      <c r="Z67" s="255">
        <f t="shared" si="130"/>
        <v>-33.1</v>
      </c>
      <c r="AA67" s="642">
        <v>116129</v>
      </c>
      <c r="AB67" s="642">
        <v>104452</v>
      </c>
      <c r="AC67" s="255">
        <f t="shared" si="131"/>
        <v>-10.1</v>
      </c>
      <c r="AD67" s="386">
        <f t="shared" si="132"/>
        <v>28637</v>
      </c>
      <c r="AE67" s="574">
        <f t="shared" si="132"/>
        <v>15433</v>
      </c>
      <c r="AF67" s="255">
        <f t="shared" si="133"/>
        <v>-46.1</v>
      </c>
      <c r="AG67" s="547">
        <v>144766</v>
      </c>
      <c r="AH67" s="547">
        <v>119885</v>
      </c>
      <c r="AI67" s="255">
        <f t="shared" si="134"/>
        <v>-17.2</v>
      </c>
    </row>
    <row r="68" spans="1:35">
      <c r="A68" s="92"/>
      <c r="B68" s="860"/>
      <c r="C68" s="101" t="s">
        <v>49</v>
      </c>
      <c r="D68" s="94">
        <v>52966</v>
      </c>
      <c r="E68" s="94">
        <v>71663</v>
      </c>
      <c r="F68" s="94">
        <v>107538</v>
      </c>
      <c r="G68" s="94">
        <v>120043</v>
      </c>
      <c r="H68" s="94">
        <v>91941</v>
      </c>
      <c r="I68" s="642">
        <v>12057</v>
      </c>
      <c r="J68" s="642">
        <v>7827</v>
      </c>
      <c r="K68" s="255">
        <f t="shared" si="121"/>
        <v>-35.1</v>
      </c>
      <c r="L68" s="386">
        <f t="shared" si="122"/>
        <v>9143</v>
      </c>
      <c r="M68" s="547">
        <f t="shared" si="122"/>
        <v>3991</v>
      </c>
      <c r="N68" s="255">
        <f t="shared" si="123"/>
        <v>-56.3</v>
      </c>
      <c r="O68" s="547">
        <v>21200</v>
      </c>
      <c r="P68" s="547">
        <v>11818</v>
      </c>
      <c r="Q68" s="255">
        <f t="shared" si="124"/>
        <v>-44.3</v>
      </c>
      <c r="R68" s="574">
        <f t="shared" si="125"/>
        <v>10770</v>
      </c>
      <c r="S68" s="547">
        <f t="shared" si="126"/>
        <v>9406</v>
      </c>
      <c r="T68" s="255">
        <f t="shared" si="127"/>
        <v>-12.7</v>
      </c>
      <c r="U68" s="547">
        <v>31970</v>
      </c>
      <c r="V68" s="547">
        <v>21224</v>
      </c>
      <c r="W68" s="255">
        <f t="shared" si="128"/>
        <v>-33.6</v>
      </c>
      <c r="X68" s="386">
        <f t="shared" si="129"/>
        <v>7605</v>
      </c>
      <c r="Y68" s="547">
        <f t="shared" si="129"/>
        <v>11516</v>
      </c>
      <c r="Z68" s="255">
        <f t="shared" si="130"/>
        <v>51.4</v>
      </c>
      <c r="AA68" s="642">
        <v>39575</v>
      </c>
      <c r="AB68" s="642">
        <v>32740</v>
      </c>
      <c r="AC68" s="255">
        <f t="shared" si="131"/>
        <v>-17.3</v>
      </c>
      <c r="AD68" s="386">
        <f t="shared" si="132"/>
        <v>7564</v>
      </c>
      <c r="AE68" s="574">
        <f t="shared" si="132"/>
        <v>5473</v>
      </c>
      <c r="AF68" s="255">
        <f t="shared" si="133"/>
        <v>-27.6</v>
      </c>
      <c r="AG68" s="547">
        <v>47139</v>
      </c>
      <c r="AH68" s="547">
        <v>38213</v>
      </c>
      <c r="AI68" s="255">
        <f t="shared" si="134"/>
        <v>-18.899999999999999</v>
      </c>
    </row>
    <row r="69" spans="1:35">
      <c r="A69" s="92"/>
      <c r="B69" s="860"/>
      <c r="C69" s="101" t="s">
        <v>83</v>
      </c>
      <c r="D69" s="94">
        <v>19533</v>
      </c>
      <c r="E69" s="94">
        <v>27031</v>
      </c>
      <c r="F69" s="94">
        <v>22296</v>
      </c>
      <c r="G69" s="94">
        <v>29666</v>
      </c>
      <c r="H69" s="94">
        <v>49823</v>
      </c>
      <c r="I69" s="642">
        <v>2479</v>
      </c>
      <c r="J69" s="642">
        <v>2798</v>
      </c>
      <c r="K69" s="255">
        <f t="shared" si="121"/>
        <v>12.9</v>
      </c>
      <c r="L69" s="386">
        <f t="shared" si="122"/>
        <v>619</v>
      </c>
      <c r="M69" s="547">
        <f t="shared" si="122"/>
        <v>3528</v>
      </c>
      <c r="N69" s="255">
        <f t="shared" si="123"/>
        <v>470</v>
      </c>
      <c r="O69" s="547">
        <v>3098</v>
      </c>
      <c r="P69" s="547">
        <v>6326</v>
      </c>
      <c r="Q69" s="255">
        <f t="shared" si="124"/>
        <v>104.2</v>
      </c>
      <c r="R69" s="574">
        <f t="shared" si="125"/>
        <v>297</v>
      </c>
      <c r="S69" s="547">
        <f t="shared" si="126"/>
        <v>3317</v>
      </c>
      <c r="T69" s="255">
        <f t="shared" si="127"/>
        <v>1016.8</v>
      </c>
      <c r="U69" s="547">
        <v>3395</v>
      </c>
      <c r="V69" s="547">
        <v>9643</v>
      </c>
      <c r="W69" s="255">
        <f t="shared" si="128"/>
        <v>184</v>
      </c>
      <c r="X69" s="386">
        <f t="shared" si="129"/>
        <v>2851</v>
      </c>
      <c r="Y69" s="547">
        <f t="shared" si="129"/>
        <v>3894</v>
      </c>
      <c r="Z69" s="255">
        <f t="shared" si="130"/>
        <v>36.6</v>
      </c>
      <c r="AA69" s="642">
        <v>6246</v>
      </c>
      <c r="AB69" s="642">
        <v>13537</v>
      </c>
      <c r="AC69" s="255">
        <f t="shared" si="131"/>
        <v>116.7</v>
      </c>
      <c r="AD69" s="386">
        <f t="shared" si="132"/>
        <v>3947</v>
      </c>
      <c r="AE69" s="574">
        <f t="shared" si="132"/>
        <v>3911</v>
      </c>
      <c r="AF69" s="255">
        <f t="shared" si="133"/>
        <v>-0.9</v>
      </c>
      <c r="AG69" s="547">
        <v>10193</v>
      </c>
      <c r="AH69" s="547">
        <v>17448</v>
      </c>
      <c r="AI69" s="255">
        <f t="shared" si="134"/>
        <v>71.2</v>
      </c>
    </row>
    <row r="70" spans="1:35">
      <c r="A70" s="92"/>
      <c r="B70" s="860"/>
      <c r="C70" s="101" t="s">
        <v>79</v>
      </c>
      <c r="D70" s="94">
        <v>38976</v>
      </c>
      <c r="E70" s="94">
        <v>48926</v>
      </c>
      <c r="F70" s="94">
        <v>17567</v>
      </c>
      <c r="G70" s="94">
        <v>116288</v>
      </c>
      <c r="H70" s="94">
        <v>40055</v>
      </c>
      <c r="I70" s="642">
        <v>5623</v>
      </c>
      <c r="J70" s="642">
        <v>4222</v>
      </c>
      <c r="K70" s="255">
        <f t="shared" si="121"/>
        <v>-24.9</v>
      </c>
      <c r="L70" s="386">
        <f t="shared" si="122"/>
        <v>3871</v>
      </c>
      <c r="M70" s="547">
        <f t="shared" si="122"/>
        <v>1558</v>
      </c>
      <c r="N70" s="255">
        <f t="shared" si="123"/>
        <v>-59.8</v>
      </c>
      <c r="O70" s="547">
        <v>9494</v>
      </c>
      <c r="P70" s="547">
        <v>5780</v>
      </c>
      <c r="Q70" s="255">
        <f t="shared" si="124"/>
        <v>-39.1</v>
      </c>
      <c r="R70" s="574">
        <f t="shared" si="125"/>
        <v>5949</v>
      </c>
      <c r="S70" s="547">
        <f t="shared" si="126"/>
        <v>1103</v>
      </c>
      <c r="T70" s="255">
        <f t="shared" si="127"/>
        <v>-81.5</v>
      </c>
      <c r="U70" s="547">
        <v>15443</v>
      </c>
      <c r="V70" s="547">
        <v>6883</v>
      </c>
      <c r="W70" s="541">
        <f t="shared" si="128"/>
        <v>-55.4</v>
      </c>
      <c r="X70" s="386">
        <f t="shared" si="129"/>
        <v>2288</v>
      </c>
      <c r="Y70" s="547">
        <f t="shared" si="129"/>
        <v>1436</v>
      </c>
      <c r="Z70" s="255">
        <f t="shared" si="130"/>
        <v>-37.200000000000003</v>
      </c>
      <c r="AA70" s="642">
        <v>17731</v>
      </c>
      <c r="AB70" s="642">
        <v>8319</v>
      </c>
      <c r="AC70" s="255">
        <f t="shared" si="131"/>
        <v>-53.1</v>
      </c>
      <c r="AD70" s="386">
        <f t="shared" si="132"/>
        <v>4143</v>
      </c>
      <c r="AE70" s="574">
        <f t="shared" si="132"/>
        <v>715</v>
      </c>
      <c r="AF70" s="255">
        <f t="shared" si="133"/>
        <v>-82.7</v>
      </c>
      <c r="AG70" s="547">
        <v>21874</v>
      </c>
      <c r="AH70" s="547">
        <v>9034</v>
      </c>
      <c r="AI70" s="255">
        <f t="shared" si="134"/>
        <v>-58.7</v>
      </c>
    </row>
    <row r="71" spans="1:35">
      <c r="A71" s="92"/>
      <c r="B71" s="860"/>
      <c r="C71" s="101" t="s">
        <v>136</v>
      </c>
      <c r="D71" s="94">
        <v>99553</v>
      </c>
      <c r="E71" s="94">
        <v>32164</v>
      </c>
      <c r="F71" s="94">
        <v>44662</v>
      </c>
      <c r="G71" s="94">
        <v>32489</v>
      </c>
      <c r="H71" s="94">
        <v>39103</v>
      </c>
      <c r="I71" s="642">
        <v>1104</v>
      </c>
      <c r="J71" s="642">
        <v>3493</v>
      </c>
      <c r="K71" s="541">
        <f t="shared" si="121"/>
        <v>216.4</v>
      </c>
      <c r="L71" s="386">
        <f t="shared" si="122"/>
        <v>2446</v>
      </c>
      <c r="M71" s="547">
        <f t="shared" si="122"/>
        <v>1500</v>
      </c>
      <c r="N71" s="255">
        <f t="shared" si="123"/>
        <v>-38.700000000000003</v>
      </c>
      <c r="O71" s="547">
        <v>3550</v>
      </c>
      <c r="P71" s="547">
        <v>4993</v>
      </c>
      <c r="Q71" s="255">
        <f t="shared" si="124"/>
        <v>40.6</v>
      </c>
      <c r="R71" s="574">
        <f t="shared" si="125"/>
        <v>549</v>
      </c>
      <c r="S71" s="547">
        <f t="shared" si="126"/>
        <v>270</v>
      </c>
      <c r="T71" s="255">
        <f t="shared" si="127"/>
        <v>-50.8</v>
      </c>
      <c r="U71" s="547">
        <v>4099</v>
      </c>
      <c r="V71" s="547">
        <v>5263</v>
      </c>
      <c r="W71" s="541">
        <f t="shared" si="128"/>
        <v>28.4</v>
      </c>
      <c r="X71" s="386">
        <f t="shared" si="129"/>
        <v>2662</v>
      </c>
      <c r="Y71" s="547">
        <f t="shared" si="129"/>
        <v>0</v>
      </c>
      <c r="Z71" s="255">
        <f t="shared" si="130"/>
        <v>-100</v>
      </c>
      <c r="AA71" s="642">
        <v>6761</v>
      </c>
      <c r="AB71" s="642">
        <v>5263</v>
      </c>
      <c r="AC71" s="255">
        <f t="shared" si="131"/>
        <v>-22.2</v>
      </c>
      <c r="AD71" s="574">
        <f t="shared" ref="AD71:AE87" si="135">AG71-AA71</f>
        <v>2500</v>
      </c>
      <c r="AE71" s="574">
        <f t="shared" si="135"/>
        <v>0</v>
      </c>
      <c r="AF71" s="541">
        <f t="shared" ref="AF71:AF81" si="136">ROUND(((AE71/AD71-1)*100), 1)</f>
        <v>-100</v>
      </c>
      <c r="AG71" s="547">
        <v>9261</v>
      </c>
      <c r="AH71" s="547">
        <v>5263</v>
      </c>
      <c r="AI71" s="255">
        <f t="shared" si="134"/>
        <v>-43.2</v>
      </c>
    </row>
    <row r="72" spans="1:35">
      <c r="A72" s="92"/>
      <c r="B72" s="860"/>
      <c r="C72" s="101" t="s">
        <v>57</v>
      </c>
      <c r="D72" s="94">
        <v>56630</v>
      </c>
      <c r="E72" s="94">
        <v>54062</v>
      </c>
      <c r="F72" s="94">
        <v>47562</v>
      </c>
      <c r="G72" s="94">
        <v>23877</v>
      </c>
      <c r="H72" s="94">
        <v>17473</v>
      </c>
      <c r="I72" s="642">
        <v>2383</v>
      </c>
      <c r="J72" s="642">
        <v>6020</v>
      </c>
      <c r="K72" s="541">
        <f t="shared" si="121"/>
        <v>152.6</v>
      </c>
      <c r="L72" s="386">
        <f t="shared" si="122"/>
        <v>963</v>
      </c>
      <c r="M72" s="547">
        <f t="shared" si="122"/>
        <v>3726</v>
      </c>
      <c r="N72" s="541">
        <f t="shared" si="123"/>
        <v>286.89999999999998</v>
      </c>
      <c r="O72" s="547">
        <v>3346</v>
      </c>
      <c r="P72" s="547">
        <v>9746</v>
      </c>
      <c r="Q72" s="255">
        <f t="shared" si="124"/>
        <v>191.3</v>
      </c>
      <c r="R72" s="574">
        <f t="shared" ref="R72:R87" si="137">U72-O72</f>
        <v>1086</v>
      </c>
      <c r="S72" s="547">
        <f t="shared" ref="S72:S87" si="138">V72-P72</f>
        <v>3286</v>
      </c>
      <c r="T72" s="541">
        <f t="shared" ref="T72:T83" si="139">ROUND(((S72/R72-1)*100), 1)</f>
        <v>202.6</v>
      </c>
      <c r="U72" s="547">
        <v>4432</v>
      </c>
      <c r="V72" s="547">
        <v>13032</v>
      </c>
      <c r="W72" s="541">
        <f t="shared" si="128"/>
        <v>194</v>
      </c>
      <c r="X72" s="386">
        <f t="shared" si="129"/>
        <v>492</v>
      </c>
      <c r="Y72" s="547">
        <f t="shared" si="129"/>
        <v>4977</v>
      </c>
      <c r="Z72" s="541">
        <f t="shared" si="130"/>
        <v>911.6</v>
      </c>
      <c r="AA72" s="642">
        <v>4924</v>
      </c>
      <c r="AB72" s="642">
        <v>18009</v>
      </c>
      <c r="AC72" s="255">
        <f t="shared" si="131"/>
        <v>265.7</v>
      </c>
      <c r="AD72" s="574">
        <f t="shared" si="135"/>
        <v>308</v>
      </c>
      <c r="AE72" s="574">
        <f t="shared" si="135"/>
        <v>2883</v>
      </c>
      <c r="AF72" s="541">
        <f t="shared" si="136"/>
        <v>836</v>
      </c>
      <c r="AG72" s="547">
        <v>5232</v>
      </c>
      <c r="AH72" s="547">
        <v>20892</v>
      </c>
      <c r="AI72" s="255">
        <f t="shared" si="134"/>
        <v>299.3</v>
      </c>
    </row>
    <row r="73" spans="1:35">
      <c r="A73" s="92"/>
      <c r="B73" s="860"/>
      <c r="C73" s="101" t="s">
        <v>84</v>
      </c>
      <c r="D73" s="94">
        <v>25649</v>
      </c>
      <c r="E73" s="94">
        <v>14391</v>
      </c>
      <c r="F73" s="94">
        <v>4137</v>
      </c>
      <c r="G73" s="94">
        <v>22575</v>
      </c>
      <c r="H73" s="94">
        <v>15595</v>
      </c>
      <c r="I73" s="642">
        <v>1448</v>
      </c>
      <c r="J73" s="642">
        <v>0</v>
      </c>
      <c r="K73" s="541">
        <f t="shared" si="121"/>
        <v>-100</v>
      </c>
      <c r="L73" s="386">
        <f t="shared" si="122"/>
        <v>2516</v>
      </c>
      <c r="M73" s="547">
        <f t="shared" si="122"/>
        <v>699</v>
      </c>
      <c r="N73" s="541">
        <f t="shared" si="123"/>
        <v>-72.2</v>
      </c>
      <c r="O73" s="547">
        <v>3964</v>
      </c>
      <c r="P73" s="547">
        <v>699</v>
      </c>
      <c r="Q73" s="541">
        <f t="shared" si="124"/>
        <v>-82.4</v>
      </c>
      <c r="R73" s="574">
        <f t="shared" si="137"/>
        <v>1597</v>
      </c>
      <c r="S73" s="547">
        <f t="shared" si="138"/>
        <v>1000</v>
      </c>
      <c r="T73" s="541">
        <f t="shared" si="139"/>
        <v>-37.4</v>
      </c>
      <c r="U73" s="547">
        <v>5561</v>
      </c>
      <c r="V73" s="547">
        <v>1699</v>
      </c>
      <c r="W73" s="541">
        <f t="shared" si="128"/>
        <v>-69.400000000000006</v>
      </c>
      <c r="X73" s="386">
        <f t="shared" si="129"/>
        <v>1696</v>
      </c>
      <c r="Y73" s="547">
        <f t="shared" si="129"/>
        <v>500</v>
      </c>
      <c r="Z73" s="541">
        <f t="shared" si="130"/>
        <v>-70.5</v>
      </c>
      <c r="AA73" s="642">
        <v>7257</v>
      </c>
      <c r="AB73" s="642">
        <v>2199</v>
      </c>
      <c r="AC73" s="541">
        <f t="shared" si="131"/>
        <v>-69.7</v>
      </c>
      <c r="AD73" s="574">
        <f t="shared" si="135"/>
        <v>1599</v>
      </c>
      <c r="AE73" s="574">
        <f t="shared" si="135"/>
        <v>499</v>
      </c>
      <c r="AF73" s="541">
        <f t="shared" si="136"/>
        <v>-68.8</v>
      </c>
      <c r="AG73" s="547">
        <v>8856</v>
      </c>
      <c r="AH73" s="547">
        <v>2698</v>
      </c>
      <c r="AI73" s="255">
        <f t="shared" si="134"/>
        <v>-69.5</v>
      </c>
    </row>
    <row r="74" spans="1:35">
      <c r="A74" s="92"/>
      <c r="B74" s="860"/>
      <c r="C74" s="101" t="s">
        <v>137</v>
      </c>
      <c r="D74" s="94">
        <v>4054</v>
      </c>
      <c r="E74" s="94">
        <v>7698</v>
      </c>
      <c r="F74" s="94">
        <v>4626</v>
      </c>
      <c r="G74" s="94">
        <v>9955</v>
      </c>
      <c r="H74" s="94">
        <v>6247</v>
      </c>
      <c r="I74" s="642">
        <v>2218</v>
      </c>
      <c r="J74" s="642">
        <v>0</v>
      </c>
      <c r="K74" s="541">
        <f t="shared" si="121"/>
        <v>-100</v>
      </c>
      <c r="L74" s="386">
        <f t="shared" si="122"/>
        <v>0</v>
      </c>
      <c r="M74" s="547">
        <f t="shared" si="122"/>
        <v>1511</v>
      </c>
      <c r="N74" s="570">
        <v>0</v>
      </c>
      <c r="O74" s="547">
        <v>2218</v>
      </c>
      <c r="P74" s="547">
        <v>1511</v>
      </c>
      <c r="Q74" s="541">
        <f t="shared" si="124"/>
        <v>-31.9</v>
      </c>
      <c r="R74" s="574">
        <f t="shared" si="137"/>
        <v>0</v>
      </c>
      <c r="S74" s="547">
        <f t="shared" si="138"/>
        <v>2321</v>
      </c>
      <c r="T74" s="570">
        <v>0</v>
      </c>
      <c r="U74" s="547">
        <v>2218</v>
      </c>
      <c r="V74" s="547">
        <v>3832</v>
      </c>
      <c r="W74" s="541">
        <f t="shared" si="128"/>
        <v>72.8</v>
      </c>
      <c r="X74" s="386">
        <f t="shared" si="129"/>
        <v>0</v>
      </c>
      <c r="Y74" s="547">
        <f t="shared" si="129"/>
        <v>1007</v>
      </c>
      <c r="Z74" s="570">
        <v>0</v>
      </c>
      <c r="AA74" s="642">
        <v>2218</v>
      </c>
      <c r="AB74" s="642">
        <v>4839</v>
      </c>
      <c r="AC74" s="541">
        <f t="shared" si="131"/>
        <v>118.2</v>
      </c>
      <c r="AD74" s="574">
        <f t="shared" si="135"/>
        <v>905</v>
      </c>
      <c r="AE74" s="574">
        <f t="shared" si="135"/>
        <v>504</v>
      </c>
      <c r="AF74" s="541">
        <f t="shared" si="136"/>
        <v>-44.3</v>
      </c>
      <c r="AG74" s="547">
        <v>3123</v>
      </c>
      <c r="AH74" s="547">
        <v>5343</v>
      </c>
      <c r="AI74" s="541">
        <f t="shared" si="134"/>
        <v>71.099999999999994</v>
      </c>
    </row>
    <row r="75" spans="1:35">
      <c r="A75" s="92"/>
      <c r="B75" s="860"/>
      <c r="C75" s="101" t="s">
        <v>205</v>
      </c>
      <c r="D75" s="94">
        <v>35018</v>
      </c>
      <c r="E75" s="94">
        <v>3139</v>
      </c>
      <c r="F75" s="94">
        <v>4902</v>
      </c>
      <c r="G75" s="94">
        <v>12284</v>
      </c>
      <c r="H75" s="94">
        <v>6111</v>
      </c>
      <c r="I75" s="642">
        <v>2002</v>
      </c>
      <c r="J75" s="642">
        <v>1485</v>
      </c>
      <c r="K75" s="541">
        <f t="shared" si="121"/>
        <v>-25.8</v>
      </c>
      <c r="L75" s="386">
        <f t="shared" si="122"/>
        <v>0</v>
      </c>
      <c r="M75" s="547">
        <f t="shared" si="122"/>
        <v>3984</v>
      </c>
      <c r="N75" s="570">
        <v>0</v>
      </c>
      <c r="O75" s="547">
        <v>2002</v>
      </c>
      <c r="P75" s="547">
        <v>5469</v>
      </c>
      <c r="Q75" s="541">
        <f t="shared" si="124"/>
        <v>173.2</v>
      </c>
      <c r="R75" s="574">
        <f t="shared" si="137"/>
        <v>1</v>
      </c>
      <c r="S75" s="547">
        <f t="shared" si="138"/>
        <v>1878</v>
      </c>
      <c r="T75" s="541">
        <f t="shared" si="139"/>
        <v>187700</v>
      </c>
      <c r="U75" s="547">
        <v>2003</v>
      </c>
      <c r="V75" s="547">
        <v>7347</v>
      </c>
      <c r="W75" s="541">
        <f t="shared" si="128"/>
        <v>266.8</v>
      </c>
      <c r="X75" s="386">
        <f t="shared" si="129"/>
        <v>0</v>
      </c>
      <c r="Y75" s="547">
        <f t="shared" si="129"/>
        <v>2146</v>
      </c>
      <c r="Z75" s="570">
        <v>0</v>
      </c>
      <c r="AA75" s="642">
        <v>2003</v>
      </c>
      <c r="AB75" s="642">
        <v>9493</v>
      </c>
      <c r="AC75" s="541">
        <f t="shared" si="131"/>
        <v>373.9</v>
      </c>
      <c r="AD75" s="574">
        <f t="shared" si="135"/>
        <v>3022</v>
      </c>
      <c r="AE75" s="574">
        <f t="shared" si="135"/>
        <v>1018</v>
      </c>
      <c r="AF75" s="541">
        <f t="shared" si="136"/>
        <v>-66.3</v>
      </c>
      <c r="AG75" s="547">
        <v>5025</v>
      </c>
      <c r="AH75" s="547">
        <v>10511</v>
      </c>
      <c r="AI75" s="255">
        <f>ROUND(((AH75/AG75-1)*100), 1)</f>
        <v>109.2</v>
      </c>
    </row>
    <row r="76" spans="1:35">
      <c r="A76" s="92"/>
      <c r="B76" s="860"/>
      <c r="C76" s="101" t="s">
        <v>43</v>
      </c>
      <c r="D76" s="94">
        <v>4512</v>
      </c>
      <c r="E76" s="94">
        <v>9969</v>
      </c>
      <c r="F76" s="94">
        <v>1358</v>
      </c>
      <c r="G76" s="94">
        <v>2801</v>
      </c>
      <c r="H76" s="94">
        <v>2280</v>
      </c>
      <c r="I76" s="642">
        <v>2217</v>
      </c>
      <c r="J76" s="642">
        <v>4</v>
      </c>
      <c r="K76" s="541">
        <f t="shared" si="121"/>
        <v>-99.8</v>
      </c>
      <c r="L76" s="386">
        <f t="shared" si="122"/>
        <v>0</v>
      </c>
      <c r="M76" s="547">
        <f t="shared" si="122"/>
        <v>0</v>
      </c>
      <c r="N76" s="570">
        <v>0</v>
      </c>
      <c r="O76" s="547">
        <v>2217</v>
      </c>
      <c r="P76" s="547">
        <v>4</v>
      </c>
      <c r="Q76" s="541">
        <f t="shared" si="124"/>
        <v>-99.8</v>
      </c>
      <c r="R76" s="574">
        <f t="shared" si="137"/>
        <v>40</v>
      </c>
      <c r="S76" s="547">
        <f t="shared" si="138"/>
        <v>11</v>
      </c>
      <c r="T76" s="541">
        <f t="shared" si="139"/>
        <v>-72.5</v>
      </c>
      <c r="U76" s="547">
        <v>2257</v>
      </c>
      <c r="V76" s="547">
        <v>15</v>
      </c>
      <c r="W76" s="541">
        <f t="shared" si="128"/>
        <v>-99.3</v>
      </c>
      <c r="X76" s="386">
        <f t="shared" si="129"/>
        <v>8</v>
      </c>
      <c r="Y76" s="547">
        <f t="shared" si="129"/>
        <v>6</v>
      </c>
      <c r="Z76" s="541">
        <f t="shared" si="130"/>
        <v>-25</v>
      </c>
      <c r="AA76" s="642">
        <v>2265</v>
      </c>
      <c r="AB76" s="642">
        <v>21</v>
      </c>
      <c r="AC76" s="541">
        <f t="shared" si="131"/>
        <v>-99.1</v>
      </c>
      <c r="AD76" s="574">
        <f t="shared" si="135"/>
        <v>0</v>
      </c>
      <c r="AE76" s="574">
        <f t="shared" si="135"/>
        <v>0</v>
      </c>
      <c r="AF76" s="570">
        <v>0</v>
      </c>
      <c r="AG76" s="547">
        <v>2265</v>
      </c>
      <c r="AH76" s="547">
        <v>21</v>
      </c>
      <c r="AI76" s="541">
        <f>ROUND(((AH76/AG76-1)*100), 1)</f>
        <v>-99.1</v>
      </c>
    </row>
    <row r="77" spans="1:35">
      <c r="A77" s="92"/>
      <c r="B77" s="860"/>
      <c r="C77" s="101" t="s">
        <v>129</v>
      </c>
      <c r="D77" s="94">
        <v>9481</v>
      </c>
      <c r="E77" s="94">
        <v>4356</v>
      </c>
      <c r="F77" s="94">
        <v>1620</v>
      </c>
      <c r="G77" s="94">
        <v>969</v>
      </c>
      <c r="H77" s="94">
        <v>1140</v>
      </c>
      <c r="I77" s="642">
        <v>1140</v>
      </c>
      <c r="J77" s="642">
        <v>0</v>
      </c>
      <c r="K77" s="541">
        <f t="shared" si="121"/>
        <v>-100</v>
      </c>
      <c r="L77" s="386">
        <f t="shared" si="122"/>
        <v>0</v>
      </c>
      <c r="M77" s="547">
        <f t="shared" si="122"/>
        <v>0</v>
      </c>
      <c r="N77" s="570">
        <v>0</v>
      </c>
      <c r="O77" s="547">
        <v>1140</v>
      </c>
      <c r="P77" s="547">
        <v>0</v>
      </c>
      <c r="Q77" s="541">
        <f t="shared" si="124"/>
        <v>-100</v>
      </c>
      <c r="R77" s="574">
        <f t="shared" si="137"/>
        <v>0</v>
      </c>
      <c r="S77" s="547">
        <f t="shared" si="138"/>
        <v>0</v>
      </c>
      <c r="T77" s="570">
        <v>0</v>
      </c>
      <c r="U77" s="547">
        <v>1140</v>
      </c>
      <c r="V77" s="547">
        <v>0</v>
      </c>
      <c r="W77" s="541">
        <f t="shared" si="128"/>
        <v>-100</v>
      </c>
      <c r="X77" s="386">
        <f t="shared" si="129"/>
        <v>0</v>
      </c>
      <c r="Y77" s="547">
        <f t="shared" si="129"/>
        <v>0</v>
      </c>
      <c r="Z77" s="570">
        <v>0</v>
      </c>
      <c r="AA77" s="642">
        <v>1140</v>
      </c>
      <c r="AB77" s="642">
        <v>0</v>
      </c>
      <c r="AC77" s="541">
        <f t="shared" si="131"/>
        <v>-100</v>
      </c>
      <c r="AD77" s="574">
        <f t="shared" si="135"/>
        <v>0</v>
      </c>
      <c r="AE77" s="574">
        <f t="shared" si="135"/>
        <v>0</v>
      </c>
      <c r="AF77" s="570">
        <v>0</v>
      </c>
      <c r="AG77" s="547">
        <v>1140</v>
      </c>
      <c r="AH77" s="547">
        <v>0</v>
      </c>
      <c r="AI77" s="255">
        <f>ROUND(((AH77/AG77-1)*100), 1)</f>
        <v>-100</v>
      </c>
    </row>
    <row r="78" spans="1:35">
      <c r="A78" s="92"/>
      <c r="B78" s="860"/>
      <c r="C78" s="101" t="s">
        <v>51</v>
      </c>
      <c r="D78" s="94">
        <v>8949</v>
      </c>
      <c r="E78" s="94">
        <v>14078</v>
      </c>
      <c r="F78" s="94">
        <v>9662</v>
      </c>
      <c r="G78" s="94">
        <v>323</v>
      </c>
      <c r="H78" s="94">
        <v>1000</v>
      </c>
      <c r="I78" s="642">
        <v>401</v>
      </c>
      <c r="J78" s="642">
        <v>0</v>
      </c>
      <c r="K78" s="541">
        <f t="shared" si="121"/>
        <v>-100</v>
      </c>
      <c r="L78" s="386">
        <f t="shared" si="122"/>
        <v>497</v>
      </c>
      <c r="M78" s="547">
        <f t="shared" si="122"/>
        <v>0</v>
      </c>
      <c r="N78" s="541">
        <f t="shared" si="123"/>
        <v>-100</v>
      </c>
      <c r="O78" s="547">
        <v>898</v>
      </c>
      <c r="P78" s="547">
        <v>0</v>
      </c>
      <c r="Q78" s="541">
        <f t="shared" si="124"/>
        <v>-100</v>
      </c>
      <c r="R78" s="574">
        <f t="shared" si="137"/>
        <v>102</v>
      </c>
      <c r="S78" s="547">
        <f t="shared" si="138"/>
        <v>0</v>
      </c>
      <c r="T78" s="541">
        <f t="shared" si="139"/>
        <v>-100</v>
      </c>
      <c r="U78" s="547">
        <v>1000</v>
      </c>
      <c r="V78" s="547">
        <v>0</v>
      </c>
      <c r="W78" s="541">
        <f t="shared" si="128"/>
        <v>-100</v>
      </c>
      <c r="X78" s="386">
        <f t="shared" si="129"/>
        <v>0</v>
      </c>
      <c r="Y78" s="547">
        <f t="shared" si="129"/>
        <v>0</v>
      </c>
      <c r="Z78" s="570">
        <v>0</v>
      </c>
      <c r="AA78" s="642">
        <v>1000</v>
      </c>
      <c r="AB78" s="642">
        <v>0</v>
      </c>
      <c r="AC78" s="541">
        <f t="shared" si="131"/>
        <v>-100</v>
      </c>
      <c r="AD78" s="574">
        <f t="shared" si="135"/>
        <v>0</v>
      </c>
      <c r="AE78" s="574">
        <f t="shared" si="135"/>
        <v>0</v>
      </c>
      <c r="AF78" s="570">
        <v>0</v>
      </c>
      <c r="AG78" s="547">
        <v>1000</v>
      </c>
      <c r="AH78" s="547">
        <v>0</v>
      </c>
      <c r="AI78" s="255">
        <f>ROUND(((AH78/AG78-1)*100), 1)</f>
        <v>-100</v>
      </c>
    </row>
    <row r="79" spans="1:35" s="605" customFormat="1">
      <c r="A79" s="676"/>
      <c r="B79" s="860"/>
      <c r="C79" s="101" t="s">
        <v>532</v>
      </c>
      <c r="D79" s="94">
        <v>0</v>
      </c>
      <c r="E79" s="94">
        <v>0</v>
      </c>
      <c r="F79" s="94">
        <v>0</v>
      </c>
      <c r="G79" s="94">
        <v>0</v>
      </c>
      <c r="H79" s="94">
        <v>396</v>
      </c>
      <c r="I79" s="642">
        <v>0</v>
      </c>
      <c r="J79" s="642">
        <v>0</v>
      </c>
      <c r="K79" s="570">
        <v>0</v>
      </c>
      <c r="L79" s="574">
        <f t="shared" ref="L79" si="140">O79-I79</f>
        <v>0</v>
      </c>
      <c r="M79" s="547">
        <f t="shared" ref="M79" si="141">P79-J79</f>
        <v>81</v>
      </c>
      <c r="N79" s="570">
        <v>0</v>
      </c>
      <c r="O79" s="547">
        <v>0</v>
      </c>
      <c r="P79" s="547">
        <v>81</v>
      </c>
      <c r="Q79" s="570">
        <v>0</v>
      </c>
      <c r="R79" s="574">
        <f t="shared" si="137"/>
        <v>0</v>
      </c>
      <c r="S79" s="547">
        <f t="shared" si="138"/>
        <v>122</v>
      </c>
      <c r="T79" s="570">
        <v>0</v>
      </c>
      <c r="U79" s="547">
        <v>0</v>
      </c>
      <c r="V79" s="547">
        <v>203</v>
      </c>
      <c r="W79" s="570">
        <v>0</v>
      </c>
      <c r="X79" s="574"/>
      <c r="Y79" s="547">
        <f t="shared" si="129"/>
        <v>0</v>
      </c>
      <c r="Z79" s="570">
        <v>0</v>
      </c>
      <c r="AA79" s="642">
        <v>0</v>
      </c>
      <c r="AB79" s="642">
        <v>203</v>
      </c>
      <c r="AC79" s="570">
        <v>0</v>
      </c>
      <c r="AD79" s="574">
        <f t="shared" si="135"/>
        <v>0</v>
      </c>
      <c r="AE79" s="574">
        <f t="shared" si="135"/>
        <v>0</v>
      </c>
      <c r="AF79" s="570">
        <v>0</v>
      </c>
      <c r="AG79" s="547">
        <v>0</v>
      </c>
      <c r="AH79" s="547">
        <v>203</v>
      </c>
      <c r="AI79" s="541"/>
    </row>
    <row r="80" spans="1:35">
      <c r="A80" s="92"/>
      <c r="B80" s="860"/>
      <c r="C80" s="101" t="s">
        <v>100</v>
      </c>
      <c r="D80" s="94">
        <v>327</v>
      </c>
      <c r="E80" s="94">
        <v>486</v>
      </c>
      <c r="F80" s="94">
        <v>708</v>
      </c>
      <c r="G80" s="94">
        <v>1247</v>
      </c>
      <c r="H80" s="94">
        <v>294</v>
      </c>
      <c r="I80" s="642">
        <v>22</v>
      </c>
      <c r="J80" s="642">
        <v>20</v>
      </c>
      <c r="K80" s="541">
        <f t="shared" si="121"/>
        <v>-9.1</v>
      </c>
      <c r="L80" s="386">
        <f t="shared" ref="L80:M88" si="142">O80-I80</f>
        <v>2</v>
      </c>
      <c r="M80" s="547">
        <f t="shared" si="142"/>
        <v>3</v>
      </c>
      <c r="N80" s="541">
        <f t="shared" si="123"/>
        <v>50</v>
      </c>
      <c r="O80" s="547">
        <v>24</v>
      </c>
      <c r="P80" s="547">
        <v>23</v>
      </c>
      <c r="Q80" s="541">
        <f t="shared" si="124"/>
        <v>-4.2</v>
      </c>
      <c r="R80" s="574">
        <f t="shared" si="137"/>
        <v>22</v>
      </c>
      <c r="S80" s="547">
        <f t="shared" si="138"/>
        <v>80</v>
      </c>
      <c r="T80" s="541">
        <f t="shared" si="139"/>
        <v>263.60000000000002</v>
      </c>
      <c r="U80" s="547">
        <v>46</v>
      </c>
      <c r="V80" s="547">
        <v>103</v>
      </c>
      <c r="W80" s="541">
        <f t="shared" si="128"/>
        <v>123.9</v>
      </c>
      <c r="X80" s="386">
        <f t="shared" ref="X80:Y88" si="143">AA80-U80</f>
        <v>65</v>
      </c>
      <c r="Y80" s="547">
        <f t="shared" si="129"/>
        <v>45</v>
      </c>
      <c r="Z80" s="541">
        <f t="shared" si="130"/>
        <v>-30.8</v>
      </c>
      <c r="AA80" s="642">
        <v>111</v>
      </c>
      <c r="AB80" s="642">
        <v>148</v>
      </c>
      <c r="AC80" s="541">
        <f t="shared" si="131"/>
        <v>33.299999999999997</v>
      </c>
      <c r="AD80" s="574">
        <f t="shared" si="135"/>
        <v>27</v>
      </c>
      <c r="AE80" s="574">
        <f t="shared" si="135"/>
        <v>41</v>
      </c>
      <c r="AF80" s="541">
        <f t="shared" si="136"/>
        <v>51.9</v>
      </c>
      <c r="AG80" s="547">
        <v>138</v>
      </c>
      <c r="AH80" s="547">
        <v>189</v>
      </c>
      <c r="AI80" s="255">
        <f>ROUND(((AH80/AG80-1)*100), 1)</f>
        <v>37</v>
      </c>
    </row>
    <row r="81" spans="1:35">
      <c r="A81" s="92"/>
      <c r="B81" s="860"/>
      <c r="C81" s="101" t="s">
        <v>93</v>
      </c>
      <c r="D81" s="94">
        <v>0</v>
      </c>
      <c r="E81" s="94">
        <v>2095</v>
      </c>
      <c r="F81" s="94">
        <v>0</v>
      </c>
      <c r="G81" s="94">
        <v>0</v>
      </c>
      <c r="H81" s="94">
        <v>146</v>
      </c>
      <c r="I81" s="642">
        <v>0</v>
      </c>
      <c r="J81" s="642">
        <v>0</v>
      </c>
      <c r="K81" s="570">
        <v>0</v>
      </c>
      <c r="L81" s="386">
        <f t="shared" si="142"/>
        <v>0</v>
      </c>
      <c r="M81" s="547">
        <f t="shared" si="142"/>
        <v>0</v>
      </c>
      <c r="N81" s="570">
        <v>0</v>
      </c>
      <c r="O81" s="547">
        <v>0</v>
      </c>
      <c r="P81" s="547">
        <v>0</v>
      </c>
      <c r="Q81" s="570">
        <v>0</v>
      </c>
      <c r="R81" s="574">
        <f t="shared" si="137"/>
        <v>0</v>
      </c>
      <c r="S81" s="547">
        <f t="shared" si="138"/>
        <v>0</v>
      </c>
      <c r="T81" s="570">
        <v>0</v>
      </c>
      <c r="U81" s="547">
        <v>0</v>
      </c>
      <c r="V81" s="547">
        <v>0</v>
      </c>
      <c r="W81" s="570">
        <v>0</v>
      </c>
      <c r="X81" s="386">
        <f t="shared" si="143"/>
        <v>98</v>
      </c>
      <c r="Y81" s="547">
        <f t="shared" si="129"/>
        <v>0</v>
      </c>
      <c r="Z81" s="541">
        <f t="shared" si="130"/>
        <v>-100</v>
      </c>
      <c r="AA81" s="642">
        <v>98</v>
      </c>
      <c r="AB81" s="642">
        <v>0</v>
      </c>
      <c r="AC81" s="541">
        <f t="shared" si="131"/>
        <v>-100</v>
      </c>
      <c r="AD81" s="574">
        <f t="shared" si="135"/>
        <v>24</v>
      </c>
      <c r="AE81" s="574">
        <f t="shared" si="135"/>
        <v>0</v>
      </c>
      <c r="AF81" s="541">
        <f t="shared" si="136"/>
        <v>-100</v>
      </c>
      <c r="AG81" s="547">
        <v>122</v>
      </c>
      <c r="AH81" s="547">
        <v>0</v>
      </c>
      <c r="AI81" s="541">
        <f t="shared" ref="AI81:AI82" si="144">ROUND(((AH81/AG81-1)*100), 1)</f>
        <v>-100</v>
      </c>
    </row>
    <row r="82" spans="1:35">
      <c r="A82" s="92"/>
      <c r="B82" s="860"/>
      <c r="C82" s="101" t="s">
        <v>99</v>
      </c>
      <c r="D82" s="94">
        <v>759</v>
      </c>
      <c r="E82" s="94">
        <v>151</v>
      </c>
      <c r="F82" s="94">
        <v>0</v>
      </c>
      <c r="G82" s="94">
        <v>151</v>
      </c>
      <c r="H82" s="94">
        <v>74</v>
      </c>
      <c r="I82" s="642">
        <v>0</v>
      </c>
      <c r="J82" s="642">
        <v>0</v>
      </c>
      <c r="K82" s="570">
        <v>0</v>
      </c>
      <c r="L82" s="386">
        <f t="shared" si="142"/>
        <v>0</v>
      </c>
      <c r="M82" s="547">
        <f t="shared" si="142"/>
        <v>0</v>
      </c>
      <c r="N82" s="570">
        <v>0</v>
      </c>
      <c r="O82" s="547">
        <v>0</v>
      </c>
      <c r="P82" s="547">
        <v>0</v>
      </c>
      <c r="Q82" s="570">
        <v>0</v>
      </c>
      <c r="R82" s="574">
        <f t="shared" si="137"/>
        <v>74</v>
      </c>
      <c r="S82" s="547">
        <f t="shared" si="138"/>
        <v>0</v>
      </c>
      <c r="T82" s="541">
        <f t="shared" si="139"/>
        <v>-100</v>
      </c>
      <c r="U82" s="547">
        <v>74</v>
      </c>
      <c r="V82" s="547">
        <v>0</v>
      </c>
      <c r="W82" s="541">
        <f t="shared" si="128"/>
        <v>-100</v>
      </c>
      <c r="X82" s="386">
        <f t="shared" si="143"/>
        <v>0</v>
      </c>
      <c r="Y82" s="547">
        <f t="shared" si="143"/>
        <v>0</v>
      </c>
      <c r="Z82" s="570">
        <v>0</v>
      </c>
      <c r="AA82" s="642">
        <v>74</v>
      </c>
      <c r="AB82" s="642">
        <v>0</v>
      </c>
      <c r="AC82" s="541">
        <f t="shared" si="131"/>
        <v>-100</v>
      </c>
      <c r="AD82" s="574">
        <f t="shared" si="135"/>
        <v>0</v>
      </c>
      <c r="AE82" s="574">
        <f t="shared" si="135"/>
        <v>0</v>
      </c>
      <c r="AF82" s="570">
        <v>0</v>
      </c>
      <c r="AG82" s="547">
        <v>74</v>
      </c>
      <c r="AH82" s="547">
        <v>0</v>
      </c>
      <c r="AI82" s="541">
        <f t="shared" si="144"/>
        <v>-100</v>
      </c>
    </row>
    <row r="83" spans="1:35">
      <c r="A83" s="92"/>
      <c r="B83" s="860"/>
      <c r="C83" s="101" t="s">
        <v>46</v>
      </c>
      <c r="D83" s="94">
        <v>0</v>
      </c>
      <c r="E83" s="94">
        <v>1505</v>
      </c>
      <c r="F83" s="94">
        <v>7</v>
      </c>
      <c r="G83" s="94">
        <v>99</v>
      </c>
      <c r="H83" s="94">
        <v>23</v>
      </c>
      <c r="I83" s="642">
        <v>22</v>
      </c>
      <c r="J83" s="642">
        <v>0</v>
      </c>
      <c r="K83" s="541">
        <f t="shared" si="121"/>
        <v>-100</v>
      </c>
      <c r="L83" s="386">
        <f t="shared" si="142"/>
        <v>0</v>
      </c>
      <c r="M83" s="547">
        <f t="shared" si="142"/>
        <v>0</v>
      </c>
      <c r="N83" s="570">
        <v>0</v>
      </c>
      <c r="O83" s="547">
        <v>22</v>
      </c>
      <c r="P83" s="547">
        <v>0</v>
      </c>
      <c r="Q83" s="541">
        <f t="shared" si="124"/>
        <v>-100</v>
      </c>
      <c r="R83" s="574">
        <f t="shared" si="137"/>
        <v>1</v>
      </c>
      <c r="S83" s="547">
        <f t="shared" si="138"/>
        <v>0</v>
      </c>
      <c r="T83" s="541">
        <f t="shared" si="139"/>
        <v>-100</v>
      </c>
      <c r="U83" s="547">
        <v>23</v>
      </c>
      <c r="V83" s="547">
        <v>0</v>
      </c>
      <c r="W83" s="541">
        <f t="shared" si="128"/>
        <v>-100</v>
      </c>
      <c r="X83" s="386">
        <f t="shared" si="143"/>
        <v>0</v>
      </c>
      <c r="Y83" s="547">
        <f t="shared" si="143"/>
        <v>0</v>
      </c>
      <c r="Z83" s="570">
        <v>0</v>
      </c>
      <c r="AA83" s="642">
        <v>23</v>
      </c>
      <c r="AB83" s="642">
        <v>0</v>
      </c>
      <c r="AC83" s="541">
        <f t="shared" si="131"/>
        <v>-100</v>
      </c>
      <c r="AD83" s="574">
        <f t="shared" si="135"/>
        <v>0</v>
      </c>
      <c r="AE83" s="574">
        <f t="shared" si="135"/>
        <v>0</v>
      </c>
      <c r="AF83" s="570">
        <v>0</v>
      </c>
      <c r="AG83" s="547">
        <v>23</v>
      </c>
      <c r="AH83" s="547">
        <v>0</v>
      </c>
      <c r="AI83" s="541">
        <f>ROUND(((AH83/AG83-1)*100), 1)</f>
        <v>-100</v>
      </c>
    </row>
    <row r="84" spans="1:35">
      <c r="A84" s="92"/>
      <c r="B84" s="860"/>
      <c r="C84" s="101" t="s">
        <v>65</v>
      </c>
      <c r="D84" s="94">
        <v>122049</v>
      </c>
      <c r="E84" s="94">
        <v>122093</v>
      </c>
      <c r="F84" s="94">
        <v>61376</v>
      </c>
      <c r="G84" s="94">
        <v>21072</v>
      </c>
      <c r="H84" s="94">
        <v>0</v>
      </c>
      <c r="I84" s="642">
        <v>0</v>
      </c>
      <c r="J84" s="642">
        <v>0</v>
      </c>
      <c r="K84" s="570">
        <v>0</v>
      </c>
      <c r="L84" s="386">
        <f t="shared" si="142"/>
        <v>0</v>
      </c>
      <c r="M84" s="547">
        <f t="shared" si="142"/>
        <v>0</v>
      </c>
      <c r="N84" s="570">
        <v>0</v>
      </c>
      <c r="O84" s="547">
        <v>0</v>
      </c>
      <c r="P84" s="547">
        <v>0</v>
      </c>
      <c r="Q84" s="570">
        <v>0</v>
      </c>
      <c r="R84" s="574">
        <f t="shared" si="137"/>
        <v>0</v>
      </c>
      <c r="S84" s="547">
        <f t="shared" si="138"/>
        <v>0</v>
      </c>
      <c r="T84" s="570">
        <v>0</v>
      </c>
      <c r="U84" s="547">
        <v>0</v>
      </c>
      <c r="V84" s="547">
        <v>0</v>
      </c>
      <c r="W84" s="570">
        <v>0</v>
      </c>
      <c r="X84" s="386">
        <f t="shared" si="143"/>
        <v>0</v>
      </c>
      <c r="Y84" s="547">
        <f t="shared" si="143"/>
        <v>0</v>
      </c>
      <c r="Z84" s="570">
        <v>0</v>
      </c>
      <c r="AA84" s="642">
        <v>0</v>
      </c>
      <c r="AB84" s="642">
        <v>0</v>
      </c>
      <c r="AC84" s="570">
        <v>0</v>
      </c>
      <c r="AD84" s="574">
        <f t="shared" si="135"/>
        <v>0</v>
      </c>
      <c r="AE84" s="574">
        <f t="shared" si="135"/>
        <v>0</v>
      </c>
      <c r="AF84" s="570">
        <v>0</v>
      </c>
      <c r="AG84" s="547">
        <v>0</v>
      </c>
      <c r="AH84" s="547">
        <v>0</v>
      </c>
      <c r="AI84" s="570">
        <v>0</v>
      </c>
    </row>
    <row r="85" spans="1:35">
      <c r="A85" s="92"/>
      <c r="B85" s="860"/>
      <c r="C85" s="101" t="s">
        <v>206</v>
      </c>
      <c r="D85" s="94">
        <v>1249</v>
      </c>
      <c r="E85" s="94">
        <v>2838</v>
      </c>
      <c r="F85" s="94">
        <v>0</v>
      </c>
      <c r="G85" s="94">
        <v>1121</v>
      </c>
      <c r="H85" s="94">
        <v>0</v>
      </c>
      <c r="I85" s="642">
        <v>0</v>
      </c>
      <c r="J85" s="642">
        <v>0</v>
      </c>
      <c r="K85" s="570">
        <v>0</v>
      </c>
      <c r="L85" s="386">
        <f t="shared" si="142"/>
        <v>0</v>
      </c>
      <c r="M85" s="547">
        <f t="shared" si="142"/>
        <v>0</v>
      </c>
      <c r="N85" s="570">
        <v>0</v>
      </c>
      <c r="O85" s="547">
        <v>0</v>
      </c>
      <c r="P85" s="547">
        <v>0</v>
      </c>
      <c r="Q85" s="570">
        <v>0</v>
      </c>
      <c r="R85" s="574">
        <f t="shared" si="137"/>
        <v>0</v>
      </c>
      <c r="S85" s="547">
        <f t="shared" si="138"/>
        <v>0</v>
      </c>
      <c r="T85" s="570">
        <v>0</v>
      </c>
      <c r="U85" s="547">
        <v>0</v>
      </c>
      <c r="V85" s="547">
        <v>0</v>
      </c>
      <c r="W85" s="570">
        <v>0</v>
      </c>
      <c r="X85" s="386">
        <f t="shared" si="143"/>
        <v>0</v>
      </c>
      <c r="Y85" s="547">
        <f t="shared" si="143"/>
        <v>0</v>
      </c>
      <c r="Z85" s="570">
        <v>0</v>
      </c>
      <c r="AA85" s="642">
        <v>0</v>
      </c>
      <c r="AB85" s="642">
        <v>0</v>
      </c>
      <c r="AC85" s="570">
        <v>0</v>
      </c>
      <c r="AD85" s="574">
        <f t="shared" si="135"/>
        <v>0</v>
      </c>
      <c r="AE85" s="574">
        <f t="shared" si="135"/>
        <v>0</v>
      </c>
      <c r="AF85" s="570">
        <v>0</v>
      </c>
      <c r="AG85" s="547">
        <v>0</v>
      </c>
      <c r="AH85" s="547">
        <v>0</v>
      </c>
      <c r="AI85" s="570">
        <v>0</v>
      </c>
    </row>
    <row r="86" spans="1:35">
      <c r="A86" s="92"/>
      <c r="B86" s="860"/>
      <c r="C86" s="101" t="s">
        <v>91</v>
      </c>
      <c r="D86" s="94">
        <v>928</v>
      </c>
      <c r="E86" s="94">
        <v>519</v>
      </c>
      <c r="F86" s="94">
        <v>582</v>
      </c>
      <c r="G86" s="94">
        <v>20</v>
      </c>
      <c r="H86" s="94">
        <v>0</v>
      </c>
      <c r="I86" s="642">
        <v>0</v>
      </c>
      <c r="J86" s="642">
        <v>0</v>
      </c>
      <c r="K86" s="570">
        <v>0</v>
      </c>
      <c r="L86" s="386">
        <f t="shared" si="142"/>
        <v>0</v>
      </c>
      <c r="M86" s="547">
        <f t="shared" si="142"/>
        <v>0</v>
      </c>
      <c r="N86" s="173">
        <v>0</v>
      </c>
      <c r="O86" s="547">
        <v>0</v>
      </c>
      <c r="P86" s="547">
        <v>0</v>
      </c>
      <c r="Q86" s="570">
        <v>0</v>
      </c>
      <c r="R86" s="574">
        <f t="shared" si="137"/>
        <v>0</v>
      </c>
      <c r="S86" s="547">
        <f t="shared" si="138"/>
        <v>0</v>
      </c>
      <c r="T86" s="570">
        <v>0</v>
      </c>
      <c r="U86" s="547">
        <v>0</v>
      </c>
      <c r="V86" s="547">
        <v>0</v>
      </c>
      <c r="W86" s="570">
        <v>0</v>
      </c>
      <c r="X86" s="386">
        <f t="shared" si="143"/>
        <v>0</v>
      </c>
      <c r="Y86" s="547">
        <f t="shared" si="143"/>
        <v>0</v>
      </c>
      <c r="Z86" s="464">
        <v>0</v>
      </c>
      <c r="AA86" s="642">
        <v>0</v>
      </c>
      <c r="AB86" s="642">
        <v>0</v>
      </c>
      <c r="AC86" s="570">
        <v>0</v>
      </c>
      <c r="AD86" s="574">
        <f t="shared" si="135"/>
        <v>0</v>
      </c>
      <c r="AE86" s="574">
        <f t="shared" si="135"/>
        <v>0</v>
      </c>
      <c r="AF86" s="570">
        <v>0</v>
      </c>
      <c r="AG86" s="547">
        <v>0</v>
      </c>
      <c r="AH86" s="547">
        <v>0</v>
      </c>
      <c r="AI86" s="570">
        <v>0</v>
      </c>
    </row>
    <row r="87" spans="1:35">
      <c r="A87" s="92"/>
      <c r="B87" s="860"/>
      <c r="C87" s="101" t="s">
        <v>97</v>
      </c>
      <c r="D87" s="94">
        <v>6684</v>
      </c>
      <c r="E87" s="94">
        <v>15117</v>
      </c>
      <c r="F87" s="94">
        <v>5673</v>
      </c>
      <c r="G87" s="94">
        <v>0</v>
      </c>
      <c r="H87" s="94">
        <v>0</v>
      </c>
      <c r="I87" s="642">
        <v>0</v>
      </c>
      <c r="J87" s="642">
        <v>0</v>
      </c>
      <c r="K87" s="173">
        <v>0</v>
      </c>
      <c r="L87" s="386">
        <f t="shared" si="142"/>
        <v>0</v>
      </c>
      <c r="M87" s="547">
        <f t="shared" si="142"/>
        <v>0</v>
      </c>
      <c r="N87" s="173">
        <v>0</v>
      </c>
      <c r="O87" s="547">
        <v>0</v>
      </c>
      <c r="P87" s="547">
        <v>0</v>
      </c>
      <c r="Q87" s="173">
        <v>0</v>
      </c>
      <c r="R87" s="574">
        <f t="shared" si="137"/>
        <v>0</v>
      </c>
      <c r="S87" s="547">
        <f t="shared" si="138"/>
        <v>0</v>
      </c>
      <c r="T87" s="570">
        <v>0</v>
      </c>
      <c r="U87" s="547">
        <v>0</v>
      </c>
      <c r="V87" s="547">
        <v>0</v>
      </c>
      <c r="W87" s="570">
        <v>0</v>
      </c>
      <c r="X87" s="386">
        <f t="shared" si="143"/>
        <v>0</v>
      </c>
      <c r="Y87" s="547">
        <f t="shared" si="143"/>
        <v>0</v>
      </c>
      <c r="Z87" s="464">
        <v>0</v>
      </c>
      <c r="AA87" s="642">
        <v>0</v>
      </c>
      <c r="AB87" s="642">
        <v>0</v>
      </c>
      <c r="AC87" s="464">
        <v>0</v>
      </c>
      <c r="AD87" s="574">
        <f t="shared" si="135"/>
        <v>0</v>
      </c>
      <c r="AE87" s="574">
        <f t="shared" si="135"/>
        <v>0</v>
      </c>
      <c r="AF87" s="570">
        <v>0</v>
      </c>
      <c r="AG87" s="547">
        <v>0</v>
      </c>
      <c r="AH87" s="547">
        <v>0</v>
      </c>
      <c r="AI87" s="570">
        <v>0</v>
      </c>
    </row>
    <row r="88" spans="1:35">
      <c r="A88" s="92"/>
      <c r="B88" s="860"/>
      <c r="C88" s="101" t="s">
        <v>204</v>
      </c>
      <c r="D88" s="94">
        <v>3222</v>
      </c>
      <c r="E88" s="94">
        <v>3516</v>
      </c>
      <c r="F88" s="94">
        <v>0</v>
      </c>
      <c r="G88" s="94">
        <v>0</v>
      </c>
      <c r="H88" s="94">
        <v>0</v>
      </c>
      <c r="I88" s="642">
        <v>0</v>
      </c>
      <c r="J88" s="642">
        <v>0</v>
      </c>
      <c r="K88" s="173">
        <v>0</v>
      </c>
      <c r="L88" s="386">
        <f t="shared" si="142"/>
        <v>0</v>
      </c>
      <c r="M88" s="547">
        <f t="shared" si="142"/>
        <v>0</v>
      </c>
      <c r="N88" s="173">
        <v>0</v>
      </c>
      <c r="O88" s="547">
        <v>0</v>
      </c>
      <c r="P88" s="547">
        <v>0</v>
      </c>
      <c r="Q88" s="173">
        <v>0</v>
      </c>
      <c r="R88" s="574">
        <f t="shared" ref="R88" si="145">U88-O88</f>
        <v>0</v>
      </c>
      <c r="S88" s="547">
        <f t="shared" ref="S88" si="146">V88-P88</f>
        <v>0</v>
      </c>
      <c r="T88" s="570">
        <v>0</v>
      </c>
      <c r="U88" s="547">
        <v>0</v>
      </c>
      <c r="V88" s="547">
        <v>0</v>
      </c>
      <c r="W88" s="570">
        <v>0</v>
      </c>
      <c r="X88" s="386">
        <f t="shared" si="143"/>
        <v>0</v>
      </c>
      <c r="Y88" s="547">
        <f t="shared" si="143"/>
        <v>0</v>
      </c>
      <c r="Z88" s="464">
        <v>0</v>
      </c>
      <c r="AA88" s="642">
        <v>0</v>
      </c>
      <c r="AB88" s="642">
        <v>0</v>
      </c>
      <c r="AC88" s="464">
        <v>0</v>
      </c>
      <c r="AD88" s="386">
        <f t="shared" ref="AD88:AE88" si="147">AG88-AA88</f>
        <v>0</v>
      </c>
      <c r="AE88" s="574">
        <f t="shared" si="147"/>
        <v>0</v>
      </c>
      <c r="AF88" s="570">
        <v>0</v>
      </c>
      <c r="AG88" s="547">
        <v>0</v>
      </c>
      <c r="AH88" s="547">
        <v>0</v>
      </c>
      <c r="AI88" s="570">
        <v>0</v>
      </c>
    </row>
    <row r="89" spans="1:35">
      <c r="A89" s="92"/>
      <c r="B89" s="860"/>
      <c r="C89" s="101" t="s">
        <v>18</v>
      </c>
      <c r="D89" s="94">
        <f t="shared" ref="D89:J89" si="148">D90-SUM(D66:D88)</f>
        <v>186</v>
      </c>
      <c r="E89" s="94">
        <f t="shared" si="148"/>
        <v>1653</v>
      </c>
      <c r="F89" s="94">
        <f t="shared" si="148"/>
        <v>337</v>
      </c>
      <c r="G89" s="94">
        <f t="shared" si="148"/>
        <v>50</v>
      </c>
      <c r="H89" s="94">
        <f t="shared" si="148"/>
        <v>100</v>
      </c>
      <c r="I89" s="643">
        <f t="shared" si="148"/>
        <v>0</v>
      </c>
      <c r="J89" s="643">
        <f t="shared" si="148"/>
        <v>18</v>
      </c>
      <c r="K89" s="276">
        <v>0</v>
      </c>
      <c r="L89" s="386">
        <f>L90-SUM(L66:L88)</f>
        <v>0</v>
      </c>
      <c r="M89" s="574">
        <f>M90-SUM(M66:M88)</f>
        <v>0</v>
      </c>
      <c r="N89" s="276">
        <v>0</v>
      </c>
      <c r="O89" s="574">
        <f>O90-SUM(O66:O88)</f>
        <v>0</v>
      </c>
      <c r="P89" s="574">
        <f>P90-SUM(P66:P88)</f>
        <v>18</v>
      </c>
      <c r="Q89" s="276">
        <v>0</v>
      </c>
      <c r="R89" s="574">
        <f>R90-SUM(R66:R88)</f>
        <v>0</v>
      </c>
      <c r="S89" s="574">
        <f>S90-SUM(S66:S88)</f>
        <v>0</v>
      </c>
      <c r="T89" s="543">
        <v>0</v>
      </c>
      <c r="U89" s="574">
        <f>U90-SUM(U66:U88)</f>
        <v>0</v>
      </c>
      <c r="V89" s="574">
        <f>V90-SUM(V66:V88)</f>
        <v>18</v>
      </c>
      <c r="W89" s="543">
        <v>0</v>
      </c>
      <c r="X89" s="386">
        <f>X90-SUM(X66:X88)</f>
        <v>0</v>
      </c>
      <c r="Y89" s="574">
        <f>Y90-SUM(Y66:Y88)</f>
        <v>0</v>
      </c>
      <c r="Z89" s="466">
        <v>0</v>
      </c>
      <c r="AA89" s="643">
        <f>AA90-SUM(AA66:AA88)</f>
        <v>0</v>
      </c>
      <c r="AB89" s="643">
        <f>AB90-SUM(AB66:AB88)</f>
        <v>18</v>
      </c>
      <c r="AC89" s="543">
        <v>0</v>
      </c>
      <c r="AD89" s="386">
        <f>AD90-SUM(AD66:AD88)</f>
        <v>0</v>
      </c>
      <c r="AE89" s="574">
        <f>AE90-SUM(AE66:AE88)</f>
        <v>23</v>
      </c>
      <c r="AF89" s="543">
        <v>0</v>
      </c>
      <c r="AG89" s="574">
        <f>AG90-SUM(AG66:AG88)</f>
        <v>0</v>
      </c>
      <c r="AH89" s="574">
        <f>AH90-SUM(AH66:AH88)</f>
        <v>41</v>
      </c>
      <c r="AI89" s="570">
        <v>0</v>
      </c>
    </row>
    <row r="90" spans="1:35">
      <c r="A90" s="92"/>
      <c r="B90" s="861"/>
      <c r="C90" s="41" t="s">
        <v>199</v>
      </c>
      <c r="D90" s="95">
        <v>1197763</v>
      </c>
      <c r="E90" s="95">
        <v>1141922</v>
      </c>
      <c r="F90" s="95">
        <v>1008873</v>
      </c>
      <c r="G90" s="95">
        <v>1069289</v>
      </c>
      <c r="H90" s="95">
        <v>1037817</v>
      </c>
      <c r="I90" s="644">
        <v>95098</v>
      </c>
      <c r="J90" s="644">
        <v>100473</v>
      </c>
      <c r="K90" s="256">
        <f>ROUND(((J90/I90-1)*100), 1)</f>
        <v>5.7</v>
      </c>
      <c r="L90" s="381">
        <f t="shared" ref="L90:M90" si="149">O90-I90</f>
        <v>76705</v>
      </c>
      <c r="M90" s="548">
        <f t="shared" si="149"/>
        <v>86539</v>
      </c>
      <c r="N90" s="256">
        <f>ROUND(((M90/L90-1)*100), 1)</f>
        <v>12.8</v>
      </c>
      <c r="O90" s="548">
        <v>171803</v>
      </c>
      <c r="P90" s="548">
        <v>187012</v>
      </c>
      <c r="Q90" s="256">
        <f>ROUND(((P90/O90-1)*100), 1)</f>
        <v>8.9</v>
      </c>
      <c r="R90" s="554">
        <f t="shared" ref="R90:R94" si="150">U90-O90</f>
        <v>87474</v>
      </c>
      <c r="S90" s="548">
        <f t="shared" ref="S90:S94" si="151">V90-P90</f>
        <v>104428</v>
      </c>
      <c r="T90" s="256">
        <f>ROUND(((S90/R90-1)*100), 1)</f>
        <v>19.399999999999999</v>
      </c>
      <c r="U90" s="548">
        <v>259277</v>
      </c>
      <c r="V90" s="548">
        <v>291440</v>
      </c>
      <c r="W90" s="256">
        <f>ROUND(((V90/U90-1)*100), 1)</f>
        <v>12.4</v>
      </c>
      <c r="X90" s="381">
        <f t="shared" ref="X90:Y103" si="152">AA90-U90</f>
        <v>90641</v>
      </c>
      <c r="Y90" s="548">
        <f t="shared" si="152"/>
        <v>107543</v>
      </c>
      <c r="Z90" s="256">
        <f>ROUND(((Y90/X90-1)*100), 1)</f>
        <v>18.600000000000001</v>
      </c>
      <c r="AA90" s="644">
        <v>349918</v>
      </c>
      <c r="AB90" s="644">
        <v>398983</v>
      </c>
      <c r="AC90" s="256">
        <f>ROUND(((AB90/AA90-1)*100), 1)</f>
        <v>14</v>
      </c>
      <c r="AD90" s="381">
        <f t="shared" ref="AD90:AE90" si="153">AG90-AA90</f>
        <v>85279</v>
      </c>
      <c r="AE90" s="554">
        <f t="shared" si="153"/>
        <v>86850</v>
      </c>
      <c r="AF90" s="256">
        <f t="shared" ref="AF90:AF95" si="154">ROUND(((AE90/AD90-1)*100), 1)</f>
        <v>1.8</v>
      </c>
      <c r="AG90" s="548">
        <v>435197</v>
      </c>
      <c r="AH90" s="548">
        <v>485833</v>
      </c>
      <c r="AI90" s="256">
        <f>ROUND(((AH90/AG90-1)*100), 1)</f>
        <v>11.6</v>
      </c>
    </row>
    <row r="91" spans="1:35">
      <c r="A91" s="92"/>
      <c r="B91" s="862" t="s">
        <v>275</v>
      </c>
      <c r="C91" s="101" t="s">
        <v>83</v>
      </c>
      <c r="D91" s="94">
        <v>9159</v>
      </c>
      <c r="E91" s="94">
        <v>8613</v>
      </c>
      <c r="F91" s="94">
        <v>9557</v>
      </c>
      <c r="G91" s="94">
        <v>10692</v>
      </c>
      <c r="H91" s="94">
        <v>8039</v>
      </c>
      <c r="I91" s="642">
        <v>760</v>
      </c>
      <c r="J91" s="642">
        <v>1862</v>
      </c>
      <c r="K91" s="255">
        <f>ROUND(((J91/I91-1)*100), 1)</f>
        <v>145</v>
      </c>
      <c r="L91" s="386">
        <f t="shared" ref="L91:M99" si="155">O91-I91</f>
        <v>1014</v>
      </c>
      <c r="M91" s="547">
        <f t="shared" si="155"/>
        <v>0</v>
      </c>
      <c r="N91" s="255">
        <f>ROUND(((M91/L91-1)*100), 1)</f>
        <v>-100</v>
      </c>
      <c r="O91" s="547">
        <v>1774</v>
      </c>
      <c r="P91" s="547">
        <v>1862</v>
      </c>
      <c r="Q91" s="255">
        <f>ROUND(((P91/O91-1)*100), 1)</f>
        <v>5</v>
      </c>
      <c r="R91" s="574">
        <f t="shared" si="150"/>
        <v>783</v>
      </c>
      <c r="S91" s="547">
        <f t="shared" si="151"/>
        <v>1462</v>
      </c>
      <c r="T91" s="255">
        <f>ROUND(((S91/R91-1)*100), 1)</f>
        <v>86.7</v>
      </c>
      <c r="U91" s="547">
        <v>2557</v>
      </c>
      <c r="V91" s="547">
        <v>3324</v>
      </c>
      <c r="W91" s="255">
        <f>ROUND(((V91/U91-1)*100), 1)</f>
        <v>30</v>
      </c>
      <c r="X91" s="386">
        <f t="shared" ref="X91:X99" si="156">AA91-U91</f>
        <v>1024</v>
      </c>
      <c r="Y91" s="547">
        <f t="shared" si="152"/>
        <v>1566</v>
      </c>
      <c r="Z91" s="255">
        <f>ROUND(((Y91/X91-1)*100), 1)</f>
        <v>52.9</v>
      </c>
      <c r="AA91" s="642">
        <v>3581</v>
      </c>
      <c r="AB91" s="642">
        <v>4890</v>
      </c>
      <c r="AC91" s="255">
        <f>ROUND(((AB91/AA91-1)*100), 1)</f>
        <v>36.6</v>
      </c>
      <c r="AD91" s="386">
        <f t="shared" ref="AD91:AE98" si="157">AG91-AA91</f>
        <v>763</v>
      </c>
      <c r="AE91" s="574">
        <f t="shared" si="157"/>
        <v>0</v>
      </c>
      <c r="AF91" s="255">
        <f t="shared" si="154"/>
        <v>-100</v>
      </c>
      <c r="AG91" s="547">
        <v>4344</v>
      </c>
      <c r="AH91" s="547">
        <v>4890</v>
      </c>
      <c r="AI91" s="255">
        <f>ROUND(((AH91/AG91-1)*100), 1)</f>
        <v>12.6</v>
      </c>
    </row>
    <row r="92" spans="1:35">
      <c r="A92" s="92"/>
      <c r="B92" s="860"/>
      <c r="C92" s="101" t="s">
        <v>45</v>
      </c>
      <c r="D92" s="94">
        <v>9295</v>
      </c>
      <c r="E92" s="94">
        <v>16715</v>
      </c>
      <c r="F92" s="94">
        <v>5488</v>
      </c>
      <c r="G92" s="94">
        <v>102</v>
      </c>
      <c r="H92" s="94">
        <v>7713</v>
      </c>
      <c r="I92" s="642">
        <v>195</v>
      </c>
      <c r="J92" s="642">
        <v>870</v>
      </c>
      <c r="K92" s="255">
        <f>ROUND(((J92/I92-1)*100), 1)</f>
        <v>346.2</v>
      </c>
      <c r="L92" s="386">
        <f t="shared" si="155"/>
        <v>0</v>
      </c>
      <c r="M92" s="547">
        <f t="shared" si="155"/>
        <v>0</v>
      </c>
      <c r="N92" s="570">
        <v>0</v>
      </c>
      <c r="O92" s="547">
        <v>195</v>
      </c>
      <c r="P92" s="547">
        <v>870</v>
      </c>
      <c r="Q92" s="255">
        <f>ROUND(((P92/O92-1)*100), 1)</f>
        <v>346.2</v>
      </c>
      <c r="R92" s="574">
        <f t="shared" si="150"/>
        <v>1480</v>
      </c>
      <c r="S92" s="547">
        <f t="shared" si="151"/>
        <v>385</v>
      </c>
      <c r="T92" s="541">
        <f t="shared" ref="T92:T95" si="158">ROUND(((S92/R92-1)*100), 1)</f>
        <v>-74</v>
      </c>
      <c r="U92" s="547">
        <v>1675</v>
      </c>
      <c r="V92" s="547">
        <v>1255</v>
      </c>
      <c r="W92" s="255">
        <f>ROUND(((V92/U92-1)*100), 1)</f>
        <v>-25.1</v>
      </c>
      <c r="X92" s="386">
        <f t="shared" si="156"/>
        <v>544</v>
      </c>
      <c r="Y92" s="547">
        <f t="shared" si="152"/>
        <v>506</v>
      </c>
      <c r="Z92" s="541">
        <f>ROUND(((Y92/X92-1)*100), 1)</f>
        <v>-7</v>
      </c>
      <c r="AA92" s="642">
        <v>2219</v>
      </c>
      <c r="AB92" s="642">
        <v>1761</v>
      </c>
      <c r="AC92" s="255">
        <f>ROUND(((AB92/AA92-1)*100), 1)</f>
        <v>-20.6</v>
      </c>
      <c r="AD92" s="386">
        <f t="shared" si="157"/>
        <v>458</v>
      </c>
      <c r="AE92" s="574">
        <f t="shared" si="157"/>
        <v>695</v>
      </c>
      <c r="AF92" s="541">
        <f t="shared" si="154"/>
        <v>51.7</v>
      </c>
      <c r="AG92" s="547">
        <v>2677</v>
      </c>
      <c r="AH92" s="547">
        <v>2456</v>
      </c>
      <c r="AI92" s="255">
        <f>ROUND(((AH92/AG92-1)*100), 1)</f>
        <v>-8.3000000000000007</v>
      </c>
    </row>
    <row r="93" spans="1:35">
      <c r="A93" s="92"/>
      <c r="B93" s="860"/>
      <c r="C93" s="101" t="s">
        <v>54</v>
      </c>
      <c r="D93" s="94">
        <v>6373</v>
      </c>
      <c r="E93" s="94">
        <v>3333</v>
      </c>
      <c r="F93" s="94">
        <v>892</v>
      </c>
      <c r="G93" s="94">
        <v>427</v>
      </c>
      <c r="H93" s="94">
        <v>1501</v>
      </c>
      <c r="I93" s="642">
        <v>0</v>
      </c>
      <c r="J93" s="642">
        <v>0</v>
      </c>
      <c r="K93" s="570">
        <v>0</v>
      </c>
      <c r="L93" s="386">
        <f t="shared" si="155"/>
        <v>198</v>
      </c>
      <c r="M93" s="547">
        <f t="shared" si="155"/>
        <v>100</v>
      </c>
      <c r="N93" s="570">
        <v>0</v>
      </c>
      <c r="O93" s="547">
        <v>198</v>
      </c>
      <c r="P93" s="547">
        <v>100</v>
      </c>
      <c r="Q93" s="541">
        <f>ROUND(((P93/O93-1)*100), 1)</f>
        <v>-49.5</v>
      </c>
      <c r="R93" s="574">
        <f t="shared" si="150"/>
        <v>201</v>
      </c>
      <c r="S93" s="547">
        <f t="shared" si="151"/>
        <v>201</v>
      </c>
      <c r="T93" s="541">
        <f t="shared" si="158"/>
        <v>0</v>
      </c>
      <c r="U93" s="547">
        <v>399</v>
      </c>
      <c r="V93" s="547">
        <v>301</v>
      </c>
      <c r="W93" s="541">
        <f t="shared" ref="W93:W98" si="159">ROUND(((V93/U93-1)*100), 1)</f>
        <v>-24.6</v>
      </c>
      <c r="X93" s="386">
        <f t="shared" si="156"/>
        <v>0</v>
      </c>
      <c r="Y93" s="547">
        <f t="shared" si="152"/>
        <v>0</v>
      </c>
      <c r="Z93" s="570">
        <v>0</v>
      </c>
      <c r="AA93" s="642">
        <v>399</v>
      </c>
      <c r="AB93" s="642">
        <v>301</v>
      </c>
      <c r="AC93" s="541">
        <f>ROUND(((AB93/AA93-1)*100), 1)</f>
        <v>-24.6</v>
      </c>
      <c r="AD93" s="386">
        <f t="shared" si="157"/>
        <v>200</v>
      </c>
      <c r="AE93" s="574">
        <f t="shared" si="157"/>
        <v>0</v>
      </c>
      <c r="AF93" s="541">
        <f t="shared" si="154"/>
        <v>-100</v>
      </c>
      <c r="AG93" s="547">
        <v>599</v>
      </c>
      <c r="AH93" s="547">
        <v>301</v>
      </c>
      <c r="AI93" s="541">
        <f>ROUND(((AH93/AG93-1)*100), 1)</f>
        <v>-49.7</v>
      </c>
    </row>
    <row r="94" spans="1:35">
      <c r="A94" s="92"/>
      <c r="B94" s="860"/>
      <c r="C94" s="101" t="s">
        <v>57</v>
      </c>
      <c r="D94" s="94">
        <v>1365</v>
      </c>
      <c r="E94" s="94">
        <v>1617</v>
      </c>
      <c r="F94" s="94">
        <v>2646</v>
      </c>
      <c r="G94" s="94">
        <v>1446</v>
      </c>
      <c r="H94" s="94">
        <v>1446</v>
      </c>
      <c r="I94" s="642">
        <v>118</v>
      </c>
      <c r="J94" s="642">
        <v>59</v>
      </c>
      <c r="K94" s="541">
        <f>ROUND(((J94/I94-1)*100), 1)</f>
        <v>-50</v>
      </c>
      <c r="L94" s="386">
        <f t="shared" si="155"/>
        <v>137</v>
      </c>
      <c r="M94" s="547">
        <f t="shared" si="155"/>
        <v>0</v>
      </c>
      <c r="N94" s="541">
        <f t="shared" ref="N94:N98" si="160">ROUND(((M94/L94-1)*100), 1)</f>
        <v>-100</v>
      </c>
      <c r="O94" s="547">
        <v>255</v>
      </c>
      <c r="P94" s="547">
        <v>59</v>
      </c>
      <c r="Q94" s="541">
        <f t="shared" ref="Q94:Q98" si="161">ROUND(((P94/O94-1)*100), 1)</f>
        <v>-76.900000000000006</v>
      </c>
      <c r="R94" s="574">
        <f t="shared" si="150"/>
        <v>156</v>
      </c>
      <c r="S94" s="547">
        <f t="shared" si="151"/>
        <v>59</v>
      </c>
      <c r="T94" s="541">
        <f t="shared" si="158"/>
        <v>-62.2</v>
      </c>
      <c r="U94" s="547">
        <v>411</v>
      </c>
      <c r="V94" s="547">
        <v>118</v>
      </c>
      <c r="W94" s="541">
        <f t="shared" si="159"/>
        <v>-71.3</v>
      </c>
      <c r="X94" s="386">
        <f t="shared" si="156"/>
        <v>137</v>
      </c>
      <c r="Y94" s="547">
        <f t="shared" si="152"/>
        <v>351</v>
      </c>
      <c r="Z94" s="541">
        <f>ROUND(((Y94/X94-1)*100), 1)</f>
        <v>156.19999999999999</v>
      </c>
      <c r="AA94" s="642">
        <v>548</v>
      </c>
      <c r="AB94" s="642">
        <v>469</v>
      </c>
      <c r="AC94" s="541">
        <f t="shared" ref="AC94:AC99" si="162">ROUND(((AB94/AA94-1)*100), 1)</f>
        <v>-14.4</v>
      </c>
      <c r="AD94" s="386">
        <f t="shared" si="157"/>
        <v>76</v>
      </c>
      <c r="AE94" s="574">
        <f t="shared" si="157"/>
        <v>156</v>
      </c>
      <c r="AF94" s="541">
        <f t="shared" si="154"/>
        <v>105.3</v>
      </c>
      <c r="AG94" s="547">
        <v>624</v>
      </c>
      <c r="AH94" s="547">
        <v>625</v>
      </c>
      <c r="AI94" s="541">
        <f t="shared" ref="AI94:AI99" si="163">ROUND(((AH94/AG94-1)*100), 1)</f>
        <v>0.2</v>
      </c>
    </row>
    <row r="95" spans="1:35">
      <c r="A95" s="92"/>
      <c r="B95" s="860"/>
      <c r="C95" s="101" t="s">
        <v>137</v>
      </c>
      <c r="D95" s="94">
        <v>9589</v>
      </c>
      <c r="E95" s="94">
        <v>8584</v>
      </c>
      <c r="F95" s="94">
        <v>5644</v>
      </c>
      <c r="G95" s="94">
        <v>2325</v>
      </c>
      <c r="H95" s="94">
        <v>491</v>
      </c>
      <c r="I95" s="642">
        <v>100</v>
      </c>
      <c r="J95" s="642">
        <v>0</v>
      </c>
      <c r="K95" s="255">
        <f>ROUND(((J95/I95-1)*100), 1)</f>
        <v>-100</v>
      </c>
      <c r="L95" s="386">
        <f t="shared" si="155"/>
        <v>0</v>
      </c>
      <c r="M95" s="547">
        <f t="shared" si="155"/>
        <v>0</v>
      </c>
      <c r="N95" s="570">
        <v>0</v>
      </c>
      <c r="O95" s="547">
        <v>100</v>
      </c>
      <c r="P95" s="547">
        <v>0</v>
      </c>
      <c r="Q95" s="255">
        <f t="shared" si="161"/>
        <v>-100</v>
      </c>
      <c r="R95" s="574">
        <f t="shared" ref="R95:R103" si="164">U95-O95</f>
        <v>98</v>
      </c>
      <c r="S95" s="547">
        <f t="shared" ref="S95:S103" si="165">V95-P95</f>
        <v>0</v>
      </c>
      <c r="T95" s="541">
        <f t="shared" si="158"/>
        <v>-100</v>
      </c>
      <c r="U95" s="547">
        <v>198</v>
      </c>
      <c r="V95" s="547">
        <v>0</v>
      </c>
      <c r="W95" s="541">
        <f t="shared" si="159"/>
        <v>-100</v>
      </c>
      <c r="X95" s="386">
        <f t="shared" si="156"/>
        <v>97</v>
      </c>
      <c r="Y95" s="547">
        <f t="shared" si="152"/>
        <v>0</v>
      </c>
      <c r="Z95" s="255">
        <f>ROUND(((Y95/X95-1)*100), 1)</f>
        <v>-100</v>
      </c>
      <c r="AA95" s="642">
        <v>295</v>
      </c>
      <c r="AB95" s="642">
        <v>0</v>
      </c>
      <c r="AC95" s="255">
        <f t="shared" si="162"/>
        <v>-100</v>
      </c>
      <c r="AD95" s="386">
        <f t="shared" si="157"/>
        <v>98</v>
      </c>
      <c r="AE95" s="574">
        <f t="shared" si="157"/>
        <v>0</v>
      </c>
      <c r="AF95" s="255">
        <f t="shared" si="154"/>
        <v>-100</v>
      </c>
      <c r="AG95" s="547">
        <v>393</v>
      </c>
      <c r="AH95" s="547">
        <v>0</v>
      </c>
      <c r="AI95" s="255">
        <f t="shared" si="163"/>
        <v>-100</v>
      </c>
    </row>
    <row r="96" spans="1:35">
      <c r="A96" s="92"/>
      <c r="B96" s="860"/>
      <c r="C96" s="101" t="s">
        <v>46</v>
      </c>
      <c r="D96" s="94">
        <v>85</v>
      </c>
      <c r="E96" s="94">
        <v>413</v>
      </c>
      <c r="F96" s="94">
        <v>220</v>
      </c>
      <c r="G96" s="94">
        <v>156</v>
      </c>
      <c r="H96" s="94">
        <v>118</v>
      </c>
      <c r="I96" s="642">
        <v>0</v>
      </c>
      <c r="J96" s="642">
        <v>0</v>
      </c>
      <c r="K96" s="570">
        <v>0</v>
      </c>
      <c r="L96" s="386">
        <f t="shared" si="155"/>
        <v>40</v>
      </c>
      <c r="M96" s="547">
        <f t="shared" si="155"/>
        <v>0</v>
      </c>
      <c r="N96" s="255">
        <f t="shared" si="160"/>
        <v>-100</v>
      </c>
      <c r="O96" s="547">
        <v>40</v>
      </c>
      <c r="P96" s="547">
        <v>0</v>
      </c>
      <c r="Q96" s="255">
        <f t="shared" si="161"/>
        <v>-100</v>
      </c>
      <c r="R96" s="574">
        <f t="shared" si="164"/>
        <v>0</v>
      </c>
      <c r="S96" s="547">
        <f t="shared" si="165"/>
        <v>0</v>
      </c>
      <c r="T96" s="570">
        <v>0</v>
      </c>
      <c r="U96" s="547">
        <v>40</v>
      </c>
      <c r="V96" s="547">
        <v>0</v>
      </c>
      <c r="W96" s="541">
        <f t="shared" si="159"/>
        <v>-100</v>
      </c>
      <c r="X96" s="386">
        <f t="shared" si="156"/>
        <v>0</v>
      </c>
      <c r="Y96" s="547">
        <f t="shared" si="152"/>
        <v>0</v>
      </c>
      <c r="Z96" s="570">
        <v>0</v>
      </c>
      <c r="AA96" s="642">
        <v>40</v>
      </c>
      <c r="AB96" s="642">
        <v>0</v>
      </c>
      <c r="AC96" s="255">
        <f t="shared" si="162"/>
        <v>-100</v>
      </c>
      <c r="AD96" s="386">
        <f t="shared" si="157"/>
        <v>0</v>
      </c>
      <c r="AE96" s="574">
        <f t="shared" si="157"/>
        <v>58</v>
      </c>
      <c r="AF96" s="570">
        <v>0</v>
      </c>
      <c r="AG96" s="547">
        <v>40</v>
      </c>
      <c r="AH96" s="547">
        <v>58</v>
      </c>
      <c r="AI96" s="255">
        <f t="shared" si="163"/>
        <v>45</v>
      </c>
    </row>
    <row r="97" spans="1:35">
      <c r="A97" s="92"/>
      <c r="B97" s="860"/>
      <c r="C97" s="101" t="s">
        <v>93</v>
      </c>
      <c r="D97" s="94">
        <v>1271</v>
      </c>
      <c r="E97" s="94">
        <v>901</v>
      </c>
      <c r="F97" s="94">
        <v>545</v>
      </c>
      <c r="G97" s="94">
        <v>237</v>
      </c>
      <c r="H97" s="94">
        <v>107</v>
      </c>
      <c r="I97" s="642">
        <v>22</v>
      </c>
      <c r="J97" s="642">
        <v>20</v>
      </c>
      <c r="K97" s="255">
        <f>ROUND(((J97/I97-1)*100), 1)</f>
        <v>-9.1</v>
      </c>
      <c r="L97" s="386">
        <f t="shared" si="155"/>
        <v>0</v>
      </c>
      <c r="M97" s="547">
        <f t="shared" si="155"/>
        <v>0</v>
      </c>
      <c r="N97" s="570">
        <v>0</v>
      </c>
      <c r="O97" s="547">
        <v>22</v>
      </c>
      <c r="P97" s="547">
        <v>20</v>
      </c>
      <c r="Q97" s="255">
        <f t="shared" si="161"/>
        <v>-9.1</v>
      </c>
      <c r="R97" s="574">
        <f t="shared" si="164"/>
        <v>22</v>
      </c>
      <c r="S97" s="547">
        <f t="shared" si="165"/>
        <v>8</v>
      </c>
      <c r="T97" s="541">
        <f t="shared" ref="T97:T98" si="166">ROUND(((S97/R97-1)*100), 1)</f>
        <v>-63.6</v>
      </c>
      <c r="U97" s="547">
        <v>44</v>
      </c>
      <c r="V97" s="547">
        <v>28</v>
      </c>
      <c r="W97" s="541">
        <f t="shared" si="159"/>
        <v>-36.4</v>
      </c>
      <c r="X97" s="386">
        <f t="shared" si="156"/>
        <v>20</v>
      </c>
      <c r="Y97" s="547">
        <f t="shared" si="152"/>
        <v>21</v>
      </c>
      <c r="Z97" s="541">
        <f>ROUND(((Y97/X97-1)*100), 1)</f>
        <v>5</v>
      </c>
      <c r="AA97" s="642">
        <v>64</v>
      </c>
      <c r="AB97" s="642">
        <v>49</v>
      </c>
      <c r="AC97" s="255">
        <f t="shared" si="162"/>
        <v>-23.4</v>
      </c>
      <c r="AD97" s="386">
        <f t="shared" si="157"/>
        <v>0</v>
      </c>
      <c r="AE97" s="574">
        <f t="shared" si="157"/>
        <v>0</v>
      </c>
      <c r="AF97" s="570">
        <v>0</v>
      </c>
      <c r="AG97" s="547">
        <v>64</v>
      </c>
      <c r="AH97" s="547">
        <v>49</v>
      </c>
      <c r="AI97" s="255">
        <f t="shared" si="163"/>
        <v>-23.4</v>
      </c>
    </row>
    <row r="98" spans="1:35">
      <c r="A98" s="92"/>
      <c r="B98" s="860"/>
      <c r="C98" s="101" t="s">
        <v>47</v>
      </c>
      <c r="D98" s="94">
        <v>424</v>
      </c>
      <c r="E98" s="94">
        <v>382</v>
      </c>
      <c r="F98" s="94">
        <v>455</v>
      </c>
      <c r="G98" s="94">
        <v>316</v>
      </c>
      <c r="H98" s="94">
        <v>74</v>
      </c>
      <c r="I98" s="642">
        <v>16</v>
      </c>
      <c r="J98" s="642">
        <v>0</v>
      </c>
      <c r="K98" s="541">
        <f>ROUND(((J98/I98-1)*100), 1)</f>
        <v>-100</v>
      </c>
      <c r="L98" s="386">
        <f t="shared" si="155"/>
        <v>17</v>
      </c>
      <c r="M98" s="547">
        <f t="shared" si="155"/>
        <v>0</v>
      </c>
      <c r="N98" s="255">
        <f t="shared" si="160"/>
        <v>-100</v>
      </c>
      <c r="O98" s="547">
        <v>33</v>
      </c>
      <c r="P98" s="547">
        <v>0</v>
      </c>
      <c r="Q98" s="255">
        <f t="shared" si="161"/>
        <v>-100</v>
      </c>
      <c r="R98" s="574">
        <f t="shared" si="164"/>
        <v>18</v>
      </c>
      <c r="S98" s="547">
        <f t="shared" si="165"/>
        <v>0</v>
      </c>
      <c r="T98" s="541">
        <f t="shared" si="166"/>
        <v>-100</v>
      </c>
      <c r="U98" s="547">
        <v>51</v>
      </c>
      <c r="V98" s="547">
        <v>0</v>
      </c>
      <c r="W98" s="541">
        <f t="shared" si="159"/>
        <v>-100</v>
      </c>
      <c r="X98" s="386">
        <f t="shared" si="156"/>
        <v>3</v>
      </c>
      <c r="Y98" s="547">
        <f t="shared" si="152"/>
        <v>0</v>
      </c>
      <c r="Z98" s="255">
        <f>ROUND(((Y98/X98-1)*100), 1)</f>
        <v>-100</v>
      </c>
      <c r="AA98" s="642">
        <v>54</v>
      </c>
      <c r="AB98" s="642">
        <v>0</v>
      </c>
      <c r="AC98" s="255">
        <f t="shared" si="162"/>
        <v>-100</v>
      </c>
      <c r="AD98" s="386">
        <f t="shared" si="157"/>
        <v>17</v>
      </c>
      <c r="AE98" s="574">
        <f t="shared" si="157"/>
        <v>0</v>
      </c>
      <c r="AF98" s="541">
        <f>ROUND(((AE98/AD98-1)*100), 1)</f>
        <v>-100</v>
      </c>
      <c r="AG98" s="547">
        <v>71</v>
      </c>
      <c r="AH98" s="547">
        <v>0</v>
      </c>
      <c r="AI98" s="255">
        <f t="shared" si="163"/>
        <v>-100</v>
      </c>
    </row>
    <row r="99" spans="1:35">
      <c r="A99" s="92"/>
      <c r="B99" s="860"/>
      <c r="C99" s="101" t="s">
        <v>91</v>
      </c>
      <c r="D99" s="94">
        <v>1318</v>
      </c>
      <c r="E99" s="94">
        <v>850</v>
      </c>
      <c r="F99" s="94">
        <v>531</v>
      </c>
      <c r="G99" s="94">
        <v>126</v>
      </c>
      <c r="H99" s="94">
        <v>62</v>
      </c>
      <c r="I99" s="642">
        <v>0</v>
      </c>
      <c r="J99" s="642">
        <v>0</v>
      </c>
      <c r="K99" s="173">
        <v>0</v>
      </c>
      <c r="L99" s="386">
        <f t="shared" si="155"/>
        <v>0</v>
      </c>
      <c r="M99" s="547">
        <f t="shared" si="155"/>
        <v>23</v>
      </c>
      <c r="N99" s="570">
        <v>0</v>
      </c>
      <c r="O99" s="547">
        <v>0</v>
      </c>
      <c r="P99" s="547">
        <v>23</v>
      </c>
      <c r="Q99" s="570">
        <v>0</v>
      </c>
      <c r="R99" s="574">
        <f t="shared" si="164"/>
        <v>0</v>
      </c>
      <c r="S99" s="547">
        <f t="shared" si="165"/>
        <v>0</v>
      </c>
      <c r="T99" s="570">
        <v>0</v>
      </c>
      <c r="U99" s="547">
        <v>0</v>
      </c>
      <c r="V99" s="547">
        <v>23</v>
      </c>
      <c r="W99" s="570">
        <v>0</v>
      </c>
      <c r="X99" s="386">
        <f t="shared" si="156"/>
        <v>31</v>
      </c>
      <c r="Y99" s="547">
        <f t="shared" si="152"/>
        <v>31</v>
      </c>
      <c r="Z99" s="541">
        <f>ROUND(((Y99/X99-1)*100), 1)</f>
        <v>0</v>
      </c>
      <c r="AA99" s="642">
        <v>31</v>
      </c>
      <c r="AB99" s="642">
        <v>54</v>
      </c>
      <c r="AC99" s="255">
        <f t="shared" si="162"/>
        <v>74.2</v>
      </c>
      <c r="AD99" s="574">
        <f t="shared" ref="AD99:AE102" si="167">AG99-AA99</f>
        <v>0</v>
      </c>
      <c r="AE99" s="574">
        <f t="shared" si="167"/>
        <v>16</v>
      </c>
      <c r="AF99" s="570">
        <v>0</v>
      </c>
      <c r="AG99" s="547">
        <v>31</v>
      </c>
      <c r="AH99" s="547">
        <v>70</v>
      </c>
      <c r="AI99" s="255">
        <f t="shared" si="163"/>
        <v>125.8</v>
      </c>
    </row>
    <row r="100" spans="1:35" s="605" customFormat="1">
      <c r="A100" s="676"/>
      <c r="B100" s="860"/>
      <c r="C100" s="101" t="s">
        <v>533</v>
      </c>
      <c r="D100" s="94">
        <v>0</v>
      </c>
      <c r="E100" s="94">
        <v>0</v>
      </c>
      <c r="F100" s="94">
        <v>0</v>
      </c>
      <c r="G100" s="94">
        <v>0</v>
      </c>
      <c r="H100" s="94">
        <v>17</v>
      </c>
      <c r="I100" s="642"/>
      <c r="J100" s="642">
        <v>0</v>
      </c>
      <c r="K100" s="570"/>
      <c r="L100" s="574">
        <f t="shared" ref="L100" si="168">O100-I100</f>
        <v>0</v>
      </c>
      <c r="M100" s="547">
        <f t="shared" ref="M100" si="169">P100-J100</f>
        <v>0</v>
      </c>
      <c r="N100" s="570">
        <v>0</v>
      </c>
      <c r="O100" s="547">
        <v>0</v>
      </c>
      <c r="P100" s="547">
        <v>0</v>
      </c>
      <c r="Q100" s="570">
        <v>0</v>
      </c>
      <c r="R100" s="574">
        <f t="shared" si="164"/>
        <v>0</v>
      </c>
      <c r="S100" s="547">
        <f t="shared" si="165"/>
        <v>0</v>
      </c>
      <c r="T100" s="570">
        <v>0</v>
      </c>
      <c r="U100" s="547"/>
      <c r="V100" s="547">
        <v>0</v>
      </c>
      <c r="W100" s="570">
        <v>0</v>
      </c>
      <c r="X100" s="574"/>
      <c r="Y100" s="547">
        <f t="shared" si="152"/>
        <v>0</v>
      </c>
      <c r="Z100" s="541"/>
      <c r="AA100" s="642">
        <v>0</v>
      </c>
      <c r="AB100" s="642">
        <v>0</v>
      </c>
      <c r="AC100" s="570">
        <v>0</v>
      </c>
      <c r="AD100" s="574">
        <f t="shared" si="167"/>
        <v>0</v>
      </c>
      <c r="AE100" s="574">
        <f t="shared" si="167"/>
        <v>0</v>
      </c>
      <c r="AF100" s="570">
        <v>0</v>
      </c>
      <c r="AG100" s="547">
        <v>0</v>
      </c>
      <c r="AH100" s="547">
        <v>0</v>
      </c>
      <c r="AI100" s="570">
        <v>0</v>
      </c>
    </row>
    <row r="101" spans="1:35">
      <c r="A101" s="92"/>
      <c r="B101" s="860"/>
      <c r="C101" s="101" t="s">
        <v>89</v>
      </c>
      <c r="D101" s="94">
        <v>0</v>
      </c>
      <c r="E101" s="94">
        <v>132</v>
      </c>
      <c r="F101" s="94">
        <v>74</v>
      </c>
      <c r="G101" s="94">
        <v>124</v>
      </c>
      <c r="H101" s="94">
        <v>6</v>
      </c>
      <c r="I101" s="642">
        <v>0</v>
      </c>
      <c r="J101" s="642">
        <v>0</v>
      </c>
      <c r="K101" s="570">
        <v>0</v>
      </c>
      <c r="L101" s="386">
        <f t="shared" ref="L101:M103" si="170">O101-I101</f>
        <v>0</v>
      </c>
      <c r="M101" s="547">
        <f t="shared" si="170"/>
        <v>1</v>
      </c>
      <c r="N101" s="570">
        <v>0</v>
      </c>
      <c r="O101" s="547">
        <v>0</v>
      </c>
      <c r="P101" s="547">
        <v>1</v>
      </c>
      <c r="Q101" s="570">
        <v>0</v>
      </c>
      <c r="R101" s="574">
        <f t="shared" si="164"/>
        <v>0</v>
      </c>
      <c r="S101" s="547">
        <f t="shared" si="165"/>
        <v>0</v>
      </c>
      <c r="T101" s="570">
        <v>0</v>
      </c>
      <c r="U101" s="547">
        <v>0</v>
      </c>
      <c r="V101" s="547">
        <v>1</v>
      </c>
      <c r="W101" s="570">
        <v>0</v>
      </c>
      <c r="X101" s="386">
        <f>AA101-U101</f>
        <v>0</v>
      </c>
      <c r="Y101" s="547">
        <f t="shared" si="152"/>
        <v>0</v>
      </c>
      <c r="Z101" s="464">
        <v>0</v>
      </c>
      <c r="AA101" s="642">
        <v>0</v>
      </c>
      <c r="AB101" s="642">
        <v>1</v>
      </c>
      <c r="AC101" s="570">
        <v>0</v>
      </c>
      <c r="AD101" s="574">
        <f t="shared" si="167"/>
        <v>0</v>
      </c>
      <c r="AE101" s="574">
        <f t="shared" si="167"/>
        <v>1</v>
      </c>
      <c r="AF101" s="570">
        <v>0</v>
      </c>
      <c r="AG101" s="547">
        <v>0</v>
      </c>
      <c r="AH101" s="547">
        <v>2</v>
      </c>
      <c r="AI101" s="570">
        <v>0</v>
      </c>
    </row>
    <row r="102" spans="1:35">
      <c r="A102" s="92"/>
      <c r="B102" s="860"/>
      <c r="C102" s="101" t="s">
        <v>92</v>
      </c>
      <c r="D102" s="94">
        <v>1428</v>
      </c>
      <c r="E102" s="94">
        <v>1468</v>
      </c>
      <c r="F102" s="94">
        <v>688</v>
      </c>
      <c r="G102" s="94">
        <v>0</v>
      </c>
      <c r="H102" s="94">
        <v>0</v>
      </c>
      <c r="I102" s="642">
        <v>0</v>
      </c>
      <c r="J102" s="642">
        <v>0</v>
      </c>
      <c r="K102" s="173">
        <v>0</v>
      </c>
      <c r="L102" s="386">
        <f t="shared" si="170"/>
        <v>0</v>
      </c>
      <c r="M102" s="547">
        <f t="shared" si="170"/>
        <v>0</v>
      </c>
      <c r="N102" s="173">
        <v>0</v>
      </c>
      <c r="O102" s="547">
        <v>0</v>
      </c>
      <c r="P102" s="547">
        <v>0</v>
      </c>
      <c r="Q102" s="173">
        <v>0</v>
      </c>
      <c r="R102" s="574">
        <f t="shared" si="164"/>
        <v>0</v>
      </c>
      <c r="S102" s="547">
        <f t="shared" si="165"/>
        <v>0</v>
      </c>
      <c r="T102" s="570">
        <v>0</v>
      </c>
      <c r="U102" s="547">
        <v>0</v>
      </c>
      <c r="V102" s="547">
        <v>0</v>
      </c>
      <c r="W102" s="570">
        <v>0</v>
      </c>
      <c r="X102" s="386">
        <f>AA102-U102</f>
        <v>0</v>
      </c>
      <c r="Y102" s="547">
        <f t="shared" si="152"/>
        <v>0</v>
      </c>
      <c r="Z102" s="464">
        <v>0</v>
      </c>
      <c r="AA102" s="642">
        <v>0</v>
      </c>
      <c r="AB102" s="642">
        <v>0</v>
      </c>
      <c r="AC102" s="464">
        <v>0</v>
      </c>
      <c r="AD102" s="574">
        <f t="shared" si="167"/>
        <v>0</v>
      </c>
      <c r="AE102" s="574">
        <f t="shared" si="167"/>
        <v>0</v>
      </c>
      <c r="AF102" s="570">
        <v>0</v>
      </c>
      <c r="AG102" s="547">
        <v>0</v>
      </c>
      <c r="AH102" s="547">
        <v>0</v>
      </c>
      <c r="AI102" s="464">
        <v>0</v>
      </c>
    </row>
    <row r="103" spans="1:35">
      <c r="A103" s="92"/>
      <c r="B103" s="860"/>
      <c r="C103" s="101" t="s">
        <v>208</v>
      </c>
      <c r="D103" s="94">
        <v>91</v>
      </c>
      <c r="E103" s="94">
        <v>0</v>
      </c>
      <c r="F103" s="94">
        <v>0</v>
      </c>
      <c r="G103" s="94">
        <v>0</v>
      </c>
      <c r="H103" s="94">
        <v>0</v>
      </c>
      <c r="I103" s="642">
        <v>0</v>
      </c>
      <c r="J103" s="642">
        <v>0</v>
      </c>
      <c r="K103" s="173">
        <v>0</v>
      </c>
      <c r="L103" s="386">
        <f t="shared" si="170"/>
        <v>0</v>
      </c>
      <c r="M103" s="547">
        <f t="shared" si="170"/>
        <v>0</v>
      </c>
      <c r="N103" s="173">
        <v>0</v>
      </c>
      <c r="O103" s="547">
        <v>0</v>
      </c>
      <c r="P103" s="547">
        <v>0</v>
      </c>
      <c r="Q103" s="173">
        <v>0</v>
      </c>
      <c r="R103" s="574">
        <f t="shared" si="164"/>
        <v>0</v>
      </c>
      <c r="S103" s="547">
        <f t="shared" si="165"/>
        <v>0</v>
      </c>
      <c r="T103" s="570">
        <v>0</v>
      </c>
      <c r="U103" s="547">
        <v>0</v>
      </c>
      <c r="V103" s="547">
        <v>0</v>
      </c>
      <c r="W103" s="570">
        <v>0</v>
      </c>
      <c r="X103" s="386">
        <f>AA103-U103</f>
        <v>0</v>
      </c>
      <c r="Y103" s="547">
        <f t="shared" si="152"/>
        <v>0</v>
      </c>
      <c r="Z103" s="464">
        <v>0</v>
      </c>
      <c r="AA103" s="642">
        <v>0</v>
      </c>
      <c r="AB103" s="642">
        <v>0</v>
      </c>
      <c r="AC103" s="464">
        <v>0</v>
      </c>
      <c r="AD103" s="386">
        <f>AG103-AA103</f>
        <v>0</v>
      </c>
      <c r="AE103" s="574">
        <f>AH103-AB103</f>
        <v>0</v>
      </c>
      <c r="AF103" s="464">
        <v>0</v>
      </c>
      <c r="AG103" s="547">
        <v>0</v>
      </c>
      <c r="AH103" s="547">
        <v>0</v>
      </c>
      <c r="AI103" s="464">
        <v>0</v>
      </c>
    </row>
    <row r="104" spans="1:35">
      <c r="A104" s="92"/>
      <c r="B104" s="860"/>
      <c r="C104" s="101" t="s">
        <v>18</v>
      </c>
      <c r="D104" s="94">
        <f t="shared" ref="D104:J104" si="171">D105-SUM(D91:D103)</f>
        <v>7</v>
      </c>
      <c r="E104" s="94">
        <f t="shared" si="171"/>
        <v>6</v>
      </c>
      <c r="F104" s="94">
        <f t="shared" si="171"/>
        <v>108</v>
      </c>
      <c r="G104" s="94">
        <f t="shared" si="171"/>
        <v>11</v>
      </c>
      <c r="H104" s="94">
        <f t="shared" si="171"/>
        <v>5</v>
      </c>
      <c r="I104" s="643">
        <f t="shared" si="171"/>
        <v>0</v>
      </c>
      <c r="J104" s="643">
        <f t="shared" si="171"/>
        <v>1</v>
      </c>
      <c r="K104" s="276">
        <v>0</v>
      </c>
      <c r="L104" s="386">
        <f>L105-SUM(L91:L103)</f>
        <v>1</v>
      </c>
      <c r="M104" s="574">
        <f>M105-SUM(M91:M103)</f>
        <v>0</v>
      </c>
      <c r="N104" s="255">
        <f>ROUND(((M104/L104-1)*100), 1)</f>
        <v>-100</v>
      </c>
      <c r="O104" s="574">
        <f>O105-SUM(O91:O103)</f>
        <v>1</v>
      </c>
      <c r="P104" s="574">
        <f>P105-SUM(P91:P103)</f>
        <v>1</v>
      </c>
      <c r="Q104" s="255">
        <f>ROUND(((P104/O104-1)*100), 1)</f>
        <v>0</v>
      </c>
      <c r="R104" s="574">
        <f>R105-SUM(R91:R103)</f>
        <v>0</v>
      </c>
      <c r="S104" s="574">
        <f>S105-SUM(S91:S103)</f>
        <v>0</v>
      </c>
      <c r="T104" s="466">
        <v>0</v>
      </c>
      <c r="U104" s="574">
        <f>U105-SUM(U91:U103)</f>
        <v>1</v>
      </c>
      <c r="V104" s="574">
        <f>V105-SUM(V91:V103)</f>
        <v>1</v>
      </c>
      <c r="W104" s="255">
        <f>ROUND(((V104/U104-1)*100), 1)</f>
        <v>0</v>
      </c>
      <c r="X104" s="386">
        <f>X105-SUM(X91:X103)</f>
        <v>2</v>
      </c>
      <c r="Y104" s="574">
        <f>Y105-SUM(Y91:Y103)</f>
        <v>1</v>
      </c>
      <c r="Z104" s="466">
        <v>0</v>
      </c>
      <c r="AA104" s="643">
        <f>AA105-SUM(AA91:AA103)</f>
        <v>3</v>
      </c>
      <c r="AB104" s="643">
        <f>AB105-SUM(AB91:AB103)</f>
        <v>2</v>
      </c>
      <c r="AC104" s="255">
        <f>ROUND(((AB104/AA104-1)*100), 1)</f>
        <v>-33.299999999999997</v>
      </c>
      <c r="AD104" s="386">
        <f>AD105-SUM(AD91:AD103)</f>
        <v>0</v>
      </c>
      <c r="AE104" s="574">
        <f>AE105-SUM(AE91:AE103)</f>
        <v>1</v>
      </c>
      <c r="AF104" s="466">
        <v>0</v>
      </c>
      <c r="AG104" s="574">
        <f>AG105-SUM(AG91:AG103)</f>
        <v>3</v>
      </c>
      <c r="AH104" s="574">
        <f>AH105-SUM(AH91:AH103)</f>
        <v>3</v>
      </c>
      <c r="AI104" s="255">
        <f>ROUND(((AH104/AG104-1)*100), 1)</f>
        <v>0</v>
      </c>
    </row>
    <row r="105" spans="1:35">
      <c r="A105" s="93"/>
      <c r="B105" s="861"/>
      <c r="C105" s="41" t="s">
        <v>199</v>
      </c>
      <c r="D105" s="95">
        <v>40405</v>
      </c>
      <c r="E105" s="95">
        <v>43014</v>
      </c>
      <c r="F105" s="95">
        <v>26848</v>
      </c>
      <c r="G105" s="95">
        <v>15962</v>
      </c>
      <c r="H105" s="95">
        <v>19579</v>
      </c>
      <c r="I105" s="644">
        <v>1211</v>
      </c>
      <c r="J105" s="644">
        <v>2812</v>
      </c>
      <c r="K105" s="256">
        <f>ROUND(((J105/I105-1)*100), 1)</f>
        <v>132.19999999999999</v>
      </c>
      <c r="L105" s="381">
        <f>O105-I105</f>
        <v>1407</v>
      </c>
      <c r="M105" s="548">
        <f>P105-J105</f>
        <v>124</v>
      </c>
      <c r="N105" s="256">
        <f>ROUND(((M105/L105-1)*100), 1)</f>
        <v>-91.2</v>
      </c>
      <c r="O105" s="548">
        <v>2618</v>
      </c>
      <c r="P105" s="548">
        <v>2936</v>
      </c>
      <c r="Q105" s="256">
        <f>ROUND(((P105/O105-1)*100), 1)</f>
        <v>12.1</v>
      </c>
      <c r="R105" s="554">
        <f>U105-O105</f>
        <v>2758</v>
      </c>
      <c r="S105" s="548">
        <f>V105-P105</f>
        <v>2115</v>
      </c>
      <c r="T105" s="256">
        <f>ROUND(((S105/R105-1)*100), 1)</f>
        <v>-23.3</v>
      </c>
      <c r="U105" s="548">
        <v>5376</v>
      </c>
      <c r="V105" s="548">
        <v>5051</v>
      </c>
      <c r="W105" s="256">
        <f>ROUND(((V105/U105-1)*100), 1)</f>
        <v>-6</v>
      </c>
      <c r="X105" s="381">
        <f>AA105-U105</f>
        <v>1858</v>
      </c>
      <c r="Y105" s="548">
        <f>AB105-V105</f>
        <v>2476</v>
      </c>
      <c r="Z105" s="256">
        <f>ROUND(((Y105/X105-1)*100), 1)</f>
        <v>33.299999999999997</v>
      </c>
      <c r="AA105" s="644">
        <v>7234</v>
      </c>
      <c r="AB105" s="644">
        <v>7527</v>
      </c>
      <c r="AC105" s="256">
        <f>ROUND(((AB105/AA105-1)*100), 1)</f>
        <v>4.0999999999999996</v>
      </c>
      <c r="AD105" s="381">
        <f>AG105-AA105</f>
        <v>1612</v>
      </c>
      <c r="AE105" s="554">
        <f>AH105-AB105</f>
        <v>927</v>
      </c>
      <c r="AF105" s="256">
        <f>ROUND(((AE105/AD105-1)*100), 1)</f>
        <v>-42.5</v>
      </c>
      <c r="AG105" s="548">
        <v>8846</v>
      </c>
      <c r="AH105" s="548">
        <v>8454</v>
      </c>
      <c r="AI105" s="256">
        <f>ROUND(((AH105/AG105-1)*100), 1)</f>
        <v>-4.4000000000000004</v>
      </c>
    </row>
    <row r="106" spans="1:35">
      <c r="K106" s="248"/>
    </row>
    <row r="107" spans="1:35">
      <c r="K107" s="248"/>
    </row>
    <row r="108" spans="1:35">
      <c r="A108" s="26"/>
      <c r="B108" s="26"/>
      <c r="D108" s="71"/>
      <c r="E108" s="71"/>
      <c r="F108" s="266"/>
      <c r="G108" s="266"/>
      <c r="H108" s="567"/>
      <c r="I108" s="624"/>
      <c r="J108" s="624"/>
      <c r="K108" s="249" t="s">
        <v>87</v>
      </c>
      <c r="L108" s="266"/>
      <c r="M108" s="567"/>
      <c r="N108" s="262"/>
      <c r="O108" s="567"/>
      <c r="P108" s="567"/>
      <c r="Q108" s="262" t="s">
        <v>87</v>
      </c>
      <c r="R108" s="567"/>
      <c r="S108" s="567"/>
      <c r="T108" s="262"/>
      <c r="U108" s="567"/>
      <c r="V108" s="567"/>
      <c r="W108" s="262" t="s">
        <v>87</v>
      </c>
      <c r="X108" s="266"/>
      <c r="Y108" s="567"/>
      <c r="Z108" s="262"/>
      <c r="AA108" s="624"/>
      <c r="AB108" s="624"/>
      <c r="AC108" s="262" t="s">
        <v>87</v>
      </c>
      <c r="AD108" s="266"/>
      <c r="AE108" s="567"/>
      <c r="AF108" s="262"/>
      <c r="AG108" s="567"/>
      <c r="AH108" s="567"/>
      <c r="AI108" s="262" t="s">
        <v>87</v>
      </c>
    </row>
    <row r="109" spans="1:35" s="367" customFormat="1" ht="18" customHeight="1">
      <c r="A109" s="733" t="s">
        <v>88</v>
      </c>
      <c r="B109" s="733"/>
      <c r="C109" s="733"/>
      <c r="D109" s="855" t="s">
        <v>2</v>
      </c>
      <c r="E109" s="855" t="s">
        <v>559</v>
      </c>
      <c r="F109" s="855" t="s">
        <v>76</v>
      </c>
      <c r="G109" s="856" t="s">
        <v>294</v>
      </c>
      <c r="H109" s="856" t="s">
        <v>431</v>
      </c>
      <c r="I109" s="854" t="s">
        <v>33</v>
      </c>
      <c r="J109" s="855"/>
      <c r="K109" s="733"/>
      <c r="L109" s="852" t="s">
        <v>553</v>
      </c>
      <c r="M109" s="853"/>
      <c r="N109" s="733"/>
      <c r="O109" s="852" t="s">
        <v>554</v>
      </c>
      <c r="P109" s="853"/>
      <c r="Q109" s="733"/>
      <c r="R109" s="852" t="s">
        <v>555</v>
      </c>
      <c r="S109" s="853"/>
      <c r="T109" s="733"/>
      <c r="U109" s="852" t="s">
        <v>556</v>
      </c>
      <c r="V109" s="853"/>
      <c r="W109" s="733"/>
      <c r="X109" s="852" t="s">
        <v>484</v>
      </c>
      <c r="Y109" s="853"/>
      <c r="Z109" s="733"/>
      <c r="AA109" s="852" t="s">
        <v>486</v>
      </c>
      <c r="AB109" s="853"/>
      <c r="AC109" s="733"/>
      <c r="AD109" s="852" t="s">
        <v>557</v>
      </c>
      <c r="AE109" s="853"/>
      <c r="AF109" s="733"/>
      <c r="AG109" s="852" t="s">
        <v>558</v>
      </c>
      <c r="AH109" s="853"/>
      <c r="AI109" s="733"/>
    </row>
    <row r="110" spans="1:35" s="367" customFormat="1" ht="18" customHeight="1">
      <c r="A110" s="733"/>
      <c r="B110" s="733"/>
      <c r="C110" s="733"/>
      <c r="D110" s="855"/>
      <c r="E110" s="855"/>
      <c r="F110" s="855"/>
      <c r="G110" s="857"/>
      <c r="H110" s="857"/>
      <c r="I110" s="699" t="s">
        <v>431</v>
      </c>
      <c r="J110" s="650" t="s">
        <v>503</v>
      </c>
      <c r="K110" s="688" t="s">
        <v>5</v>
      </c>
      <c r="L110" s="687" t="s">
        <v>431</v>
      </c>
      <c r="M110" s="586" t="s">
        <v>503</v>
      </c>
      <c r="N110" s="688" t="s">
        <v>5</v>
      </c>
      <c r="O110" s="687" t="s">
        <v>431</v>
      </c>
      <c r="P110" s="586" t="s">
        <v>503</v>
      </c>
      <c r="Q110" s="688" t="s">
        <v>5</v>
      </c>
      <c r="R110" s="687" t="s">
        <v>431</v>
      </c>
      <c r="S110" s="586" t="s">
        <v>503</v>
      </c>
      <c r="T110" s="688" t="s">
        <v>5</v>
      </c>
      <c r="U110" s="687" t="s">
        <v>431</v>
      </c>
      <c r="V110" s="586" t="s">
        <v>503</v>
      </c>
      <c r="W110" s="688" t="s">
        <v>5</v>
      </c>
      <c r="X110" s="687" t="s">
        <v>431</v>
      </c>
      <c r="Y110" s="586" t="s">
        <v>503</v>
      </c>
      <c r="Z110" s="688" t="s">
        <v>5</v>
      </c>
      <c r="AA110" s="699" t="s">
        <v>431</v>
      </c>
      <c r="AB110" s="650" t="s">
        <v>503</v>
      </c>
      <c r="AC110" s="688" t="s">
        <v>5</v>
      </c>
      <c r="AD110" s="687" t="s">
        <v>431</v>
      </c>
      <c r="AE110" s="586" t="s">
        <v>503</v>
      </c>
      <c r="AF110" s="688" t="s">
        <v>5</v>
      </c>
      <c r="AG110" s="687" t="s">
        <v>431</v>
      </c>
      <c r="AH110" s="586" t="s">
        <v>503</v>
      </c>
      <c r="AI110" s="688" t="s">
        <v>5</v>
      </c>
    </row>
    <row r="111" spans="1:35">
      <c r="A111" s="92"/>
      <c r="B111" s="859" t="s">
        <v>276</v>
      </c>
      <c r="C111" s="101" t="s">
        <v>137</v>
      </c>
      <c r="D111" s="94">
        <v>68706</v>
      </c>
      <c r="E111" s="94">
        <v>80535</v>
      </c>
      <c r="F111" s="100">
        <v>62400</v>
      </c>
      <c r="G111" s="94">
        <v>77545</v>
      </c>
      <c r="H111" s="94">
        <v>64491</v>
      </c>
      <c r="I111" s="642">
        <v>5422</v>
      </c>
      <c r="J111" s="642">
        <v>5226</v>
      </c>
      <c r="K111" s="255">
        <f t="shared" ref="K111:K116" si="172">ROUND(((J111/I111-1)*100), 1)</f>
        <v>-3.6</v>
      </c>
      <c r="L111" s="386">
        <f t="shared" ref="L111:M122" si="173">O111-I111</f>
        <v>7777</v>
      </c>
      <c r="M111" s="547">
        <f t="shared" si="173"/>
        <v>5992</v>
      </c>
      <c r="N111" s="255">
        <f t="shared" ref="N111:N118" si="174">ROUND(((M111/L111-1)*100), 1)</f>
        <v>-23</v>
      </c>
      <c r="O111" s="547">
        <v>13199</v>
      </c>
      <c r="P111" s="547">
        <v>11218</v>
      </c>
      <c r="Q111" s="255">
        <f t="shared" ref="Q111:Q127" si="175">ROUND(((P111/O111-1)*100), 1)</f>
        <v>-15</v>
      </c>
      <c r="R111" s="574">
        <f t="shared" ref="R111:R114" si="176">U111-O111</f>
        <v>3828</v>
      </c>
      <c r="S111" s="547">
        <f t="shared" ref="S111:S114" si="177">V111-P111</f>
        <v>7352</v>
      </c>
      <c r="T111" s="255">
        <f t="shared" ref="T111:T114" si="178">ROUND(((S111/R111-1)*100), 1)</f>
        <v>92.1</v>
      </c>
      <c r="U111" s="547">
        <v>17027</v>
      </c>
      <c r="V111" s="547">
        <v>18570</v>
      </c>
      <c r="W111" s="255">
        <f t="shared" ref="W111:W127" si="179">ROUND(((V111/U111-1)*100), 1)</f>
        <v>9.1</v>
      </c>
      <c r="X111" s="386">
        <f t="shared" ref="X111:Y126" si="180">AA111-U111</f>
        <v>7333</v>
      </c>
      <c r="Y111" s="547">
        <f t="shared" si="180"/>
        <v>4228</v>
      </c>
      <c r="Z111" s="255">
        <f t="shared" ref="Z111:Z122" si="181">ROUND(((Y111/X111-1)*100), 1)</f>
        <v>-42.3</v>
      </c>
      <c r="AA111" s="642">
        <v>24360</v>
      </c>
      <c r="AB111" s="642">
        <v>22798</v>
      </c>
      <c r="AC111" s="255">
        <f t="shared" ref="AC111:AC127" si="182">ROUND(((AB111/AA111-1)*100), 1)</f>
        <v>-6.4</v>
      </c>
      <c r="AD111" s="386">
        <f t="shared" ref="AD111:AE117" si="183">AG111-AA111</f>
        <v>3709</v>
      </c>
      <c r="AE111" s="574">
        <f t="shared" si="183"/>
        <v>7480</v>
      </c>
      <c r="AF111" s="255">
        <f t="shared" ref="AF111:AF117" si="184">ROUND(((AE111/AD111-1)*100), 1)</f>
        <v>101.7</v>
      </c>
      <c r="AG111" s="547">
        <v>28069</v>
      </c>
      <c r="AH111" s="547">
        <v>30278</v>
      </c>
      <c r="AI111" s="255">
        <f t="shared" ref="AI111:AI127" si="185">ROUND(((AH111/AG111-1)*100), 1)</f>
        <v>7.9</v>
      </c>
    </row>
    <row r="112" spans="1:35">
      <c r="A112" s="92" t="s">
        <v>126</v>
      </c>
      <c r="B112" s="860"/>
      <c r="C112" s="101" t="s">
        <v>79</v>
      </c>
      <c r="D112" s="94">
        <v>95318</v>
      </c>
      <c r="E112" s="94">
        <v>136465</v>
      </c>
      <c r="F112" s="94">
        <v>120249</v>
      </c>
      <c r="G112" s="94">
        <v>32463</v>
      </c>
      <c r="H112" s="94">
        <v>60081</v>
      </c>
      <c r="I112" s="642">
        <v>2265</v>
      </c>
      <c r="J112" s="642">
        <v>8236</v>
      </c>
      <c r="K112" s="255">
        <f t="shared" si="172"/>
        <v>263.60000000000002</v>
      </c>
      <c r="L112" s="386">
        <f t="shared" si="173"/>
        <v>2890</v>
      </c>
      <c r="M112" s="547">
        <f t="shared" si="173"/>
        <v>3369</v>
      </c>
      <c r="N112" s="255">
        <f t="shared" si="174"/>
        <v>16.600000000000001</v>
      </c>
      <c r="O112" s="547">
        <v>5155</v>
      </c>
      <c r="P112" s="547">
        <v>11605</v>
      </c>
      <c r="Q112" s="255">
        <f t="shared" si="175"/>
        <v>125.1</v>
      </c>
      <c r="R112" s="574">
        <f t="shared" si="176"/>
        <v>5454</v>
      </c>
      <c r="S112" s="547">
        <f t="shared" si="177"/>
        <v>8247</v>
      </c>
      <c r="T112" s="255">
        <f t="shared" si="178"/>
        <v>51.2</v>
      </c>
      <c r="U112" s="547">
        <v>10609</v>
      </c>
      <c r="V112" s="547">
        <v>19852</v>
      </c>
      <c r="W112" s="255">
        <f t="shared" si="179"/>
        <v>87.1</v>
      </c>
      <c r="X112" s="386">
        <f t="shared" si="180"/>
        <v>3873</v>
      </c>
      <c r="Y112" s="547">
        <f t="shared" si="180"/>
        <v>10008</v>
      </c>
      <c r="Z112" s="255">
        <f t="shared" si="181"/>
        <v>158.4</v>
      </c>
      <c r="AA112" s="642">
        <v>14482</v>
      </c>
      <c r="AB112" s="642">
        <v>29860</v>
      </c>
      <c r="AC112" s="255">
        <f t="shared" si="182"/>
        <v>106.2</v>
      </c>
      <c r="AD112" s="386">
        <f t="shared" si="183"/>
        <v>4643</v>
      </c>
      <c r="AE112" s="574">
        <f t="shared" si="183"/>
        <v>1414</v>
      </c>
      <c r="AF112" s="255">
        <f t="shared" si="184"/>
        <v>-69.5</v>
      </c>
      <c r="AG112" s="547">
        <v>19125</v>
      </c>
      <c r="AH112" s="547">
        <v>31274</v>
      </c>
      <c r="AI112" s="255">
        <f t="shared" si="185"/>
        <v>63.5</v>
      </c>
    </row>
    <row r="113" spans="1:35">
      <c r="A113" s="92"/>
      <c r="B113" s="860"/>
      <c r="C113" s="101" t="s">
        <v>57</v>
      </c>
      <c r="D113" s="94">
        <v>50634</v>
      </c>
      <c r="E113" s="94">
        <v>52725</v>
      </c>
      <c r="F113" s="94">
        <v>25774</v>
      </c>
      <c r="G113" s="94">
        <v>28451</v>
      </c>
      <c r="H113" s="94">
        <v>47416</v>
      </c>
      <c r="I113" s="642">
        <v>2148</v>
      </c>
      <c r="J113" s="642">
        <v>4137</v>
      </c>
      <c r="K113" s="255">
        <f t="shared" si="172"/>
        <v>92.6</v>
      </c>
      <c r="L113" s="386">
        <f t="shared" si="173"/>
        <v>2913</v>
      </c>
      <c r="M113" s="547">
        <f t="shared" si="173"/>
        <v>3024</v>
      </c>
      <c r="N113" s="255">
        <f t="shared" si="174"/>
        <v>3.8</v>
      </c>
      <c r="O113" s="547">
        <v>5061</v>
      </c>
      <c r="P113" s="547">
        <v>7161</v>
      </c>
      <c r="Q113" s="255">
        <f t="shared" si="175"/>
        <v>41.5</v>
      </c>
      <c r="R113" s="574">
        <f t="shared" si="176"/>
        <v>4152</v>
      </c>
      <c r="S113" s="547">
        <f t="shared" si="177"/>
        <v>6951</v>
      </c>
      <c r="T113" s="255">
        <f t="shared" si="178"/>
        <v>67.400000000000006</v>
      </c>
      <c r="U113" s="547">
        <v>9213</v>
      </c>
      <c r="V113" s="547">
        <v>14112</v>
      </c>
      <c r="W113" s="255">
        <f t="shared" si="179"/>
        <v>53.2</v>
      </c>
      <c r="X113" s="386">
        <f t="shared" si="180"/>
        <v>2505</v>
      </c>
      <c r="Y113" s="547">
        <f t="shared" si="180"/>
        <v>1599</v>
      </c>
      <c r="Z113" s="255">
        <f t="shared" si="181"/>
        <v>-36.200000000000003</v>
      </c>
      <c r="AA113" s="642">
        <v>11718</v>
      </c>
      <c r="AB113" s="642">
        <v>15711</v>
      </c>
      <c r="AC113" s="255">
        <f t="shared" si="182"/>
        <v>34.1</v>
      </c>
      <c r="AD113" s="386">
        <f t="shared" si="183"/>
        <v>3978</v>
      </c>
      <c r="AE113" s="574">
        <f t="shared" si="183"/>
        <v>4960</v>
      </c>
      <c r="AF113" s="255">
        <f t="shared" si="184"/>
        <v>24.7</v>
      </c>
      <c r="AG113" s="547">
        <v>15696</v>
      </c>
      <c r="AH113" s="547">
        <v>20671</v>
      </c>
      <c r="AI113" s="255">
        <f t="shared" si="185"/>
        <v>31.7</v>
      </c>
    </row>
    <row r="114" spans="1:35">
      <c r="A114" s="92"/>
      <c r="B114" s="860"/>
      <c r="C114" s="101" t="s">
        <v>84</v>
      </c>
      <c r="D114" s="94">
        <v>33036</v>
      </c>
      <c r="E114" s="94">
        <v>21251</v>
      </c>
      <c r="F114" s="94">
        <v>43145</v>
      </c>
      <c r="G114" s="94">
        <v>33702</v>
      </c>
      <c r="H114" s="94">
        <v>42136</v>
      </c>
      <c r="I114" s="642">
        <v>4281</v>
      </c>
      <c r="J114" s="642">
        <v>6525</v>
      </c>
      <c r="K114" s="255">
        <f t="shared" si="172"/>
        <v>52.4</v>
      </c>
      <c r="L114" s="386">
        <f t="shared" si="173"/>
        <v>3652</v>
      </c>
      <c r="M114" s="547">
        <f t="shared" si="173"/>
        <v>5569</v>
      </c>
      <c r="N114" s="255">
        <f t="shared" si="174"/>
        <v>52.5</v>
      </c>
      <c r="O114" s="547">
        <v>7933</v>
      </c>
      <c r="P114" s="547">
        <v>12094</v>
      </c>
      <c r="Q114" s="255">
        <f t="shared" si="175"/>
        <v>52.5</v>
      </c>
      <c r="R114" s="574">
        <f t="shared" si="176"/>
        <v>3036</v>
      </c>
      <c r="S114" s="547">
        <f t="shared" si="177"/>
        <v>6084</v>
      </c>
      <c r="T114" s="255">
        <f t="shared" si="178"/>
        <v>100.4</v>
      </c>
      <c r="U114" s="547">
        <v>10969</v>
      </c>
      <c r="V114" s="547">
        <v>18178</v>
      </c>
      <c r="W114" s="541">
        <f t="shared" si="179"/>
        <v>65.7</v>
      </c>
      <c r="X114" s="386">
        <f t="shared" si="180"/>
        <v>4562</v>
      </c>
      <c r="Y114" s="547">
        <f t="shared" si="180"/>
        <v>8248</v>
      </c>
      <c r="Z114" s="255">
        <f t="shared" si="181"/>
        <v>80.8</v>
      </c>
      <c r="AA114" s="642">
        <v>15531</v>
      </c>
      <c r="AB114" s="642">
        <v>26426</v>
      </c>
      <c r="AC114" s="255">
        <f t="shared" si="182"/>
        <v>70.2</v>
      </c>
      <c r="AD114" s="386">
        <f t="shared" si="183"/>
        <v>3134</v>
      </c>
      <c r="AE114" s="574">
        <f t="shared" si="183"/>
        <v>5750</v>
      </c>
      <c r="AF114" s="255">
        <f t="shared" si="184"/>
        <v>83.5</v>
      </c>
      <c r="AG114" s="547">
        <v>18665</v>
      </c>
      <c r="AH114" s="547">
        <v>32176</v>
      </c>
      <c r="AI114" s="255">
        <f t="shared" si="185"/>
        <v>72.400000000000006</v>
      </c>
    </row>
    <row r="115" spans="1:35">
      <c r="A115" s="92"/>
      <c r="B115" s="860"/>
      <c r="C115" s="101" t="s">
        <v>54</v>
      </c>
      <c r="D115" s="94">
        <v>3503</v>
      </c>
      <c r="E115" s="94">
        <v>11329</v>
      </c>
      <c r="F115" s="94">
        <v>12421</v>
      </c>
      <c r="G115" s="94">
        <v>15097</v>
      </c>
      <c r="H115" s="94">
        <v>23451</v>
      </c>
      <c r="I115" s="642">
        <v>2232</v>
      </c>
      <c r="J115" s="642">
        <v>2036</v>
      </c>
      <c r="K115" s="255">
        <f t="shared" si="172"/>
        <v>-8.8000000000000007</v>
      </c>
      <c r="L115" s="386">
        <f t="shared" si="173"/>
        <v>1307</v>
      </c>
      <c r="M115" s="547">
        <f t="shared" si="173"/>
        <v>845</v>
      </c>
      <c r="N115" s="255">
        <f t="shared" si="174"/>
        <v>-35.299999999999997</v>
      </c>
      <c r="O115" s="547">
        <v>3539</v>
      </c>
      <c r="P115" s="547">
        <v>2881</v>
      </c>
      <c r="Q115" s="255">
        <f t="shared" si="175"/>
        <v>-18.600000000000001</v>
      </c>
      <c r="R115" s="574">
        <f t="shared" ref="R115:R128" si="186">U115-O115</f>
        <v>1833</v>
      </c>
      <c r="S115" s="547">
        <f t="shared" ref="S115:S128" si="187">V115-P115</f>
        <v>1302</v>
      </c>
      <c r="T115" s="541">
        <f t="shared" ref="T115:T127" si="188">ROUND(((S115/R115-1)*100), 1)</f>
        <v>-29</v>
      </c>
      <c r="U115" s="547">
        <v>5372</v>
      </c>
      <c r="V115" s="547">
        <v>4183</v>
      </c>
      <c r="W115" s="541">
        <f t="shared" si="179"/>
        <v>-22.1</v>
      </c>
      <c r="X115" s="386">
        <f t="shared" si="180"/>
        <v>3178</v>
      </c>
      <c r="Y115" s="547">
        <f t="shared" si="180"/>
        <v>1614</v>
      </c>
      <c r="Z115" s="255">
        <f t="shared" si="181"/>
        <v>-49.2</v>
      </c>
      <c r="AA115" s="642">
        <v>8550</v>
      </c>
      <c r="AB115" s="642">
        <v>5797</v>
      </c>
      <c r="AC115" s="255">
        <f t="shared" si="182"/>
        <v>-32.200000000000003</v>
      </c>
      <c r="AD115" s="386">
        <f t="shared" si="183"/>
        <v>605</v>
      </c>
      <c r="AE115" s="574">
        <f t="shared" si="183"/>
        <v>2046</v>
      </c>
      <c r="AF115" s="255">
        <f t="shared" si="184"/>
        <v>238.2</v>
      </c>
      <c r="AG115" s="547">
        <v>9155</v>
      </c>
      <c r="AH115" s="547">
        <v>7843</v>
      </c>
      <c r="AI115" s="255">
        <f t="shared" si="185"/>
        <v>-14.3</v>
      </c>
    </row>
    <row r="116" spans="1:35">
      <c r="A116" s="92"/>
      <c r="B116" s="860"/>
      <c r="C116" s="101" t="s">
        <v>49</v>
      </c>
      <c r="D116" s="94">
        <v>21968</v>
      </c>
      <c r="E116" s="94">
        <v>30928</v>
      </c>
      <c r="F116" s="94">
        <v>21667</v>
      </c>
      <c r="G116" s="94">
        <v>23257</v>
      </c>
      <c r="H116" s="94">
        <v>19610</v>
      </c>
      <c r="I116" s="642">
        <v>2200</v>
      </c>
      <c r="J116" s="642">
        <v>1766</v>
      </c>
      <c r="K116" s="255">
        <f t="shared" si="172"/>
        <v>-19.7</v>
      </c>
      <c r="L116" s="386">
        <f t="shared" si="173"/>
        <v>1794</v>
      </c>
      <c r="M116" s="547">
        <f t="shared" si="173"/>
        <v>1003</v>
      </c>
      <c r="N116" s="255">
        <f t="shared" si="174"/>
        <v>-44.1</v>
      </c>
      <c r="O116" s="547">
        <v>3994</v>
      </c>
      <c r="P116" s="547">
        <v>2769</v>
      </c>
      <c r="Q116" s="255">
        <f t="shared" si="175"/>
        <v>-30.7</v>
      </c>
      <c r="R116" s="574">
        <f t="shared" si="186"/>
        <v>1794</v>
      </c>
      <c r="S116" s="547">
        <f t="shared" si="187"/>
        <v>1008</v>
      </c>
      <c r="T116" s="541">
        <f t="shared" si="188"/>
        <v>-43.8</v>
      </c>
      <c r="U116" s="547">
        <v>5788</v>
      </c>
      <c r="V116" s="547">
        <v>3777</v>
      </c>
      <c r="W116" s="541">
        <f t="shared" si="179"/>
        <v>-34.700000000000003</v>
      </c>
      <c r="X116" s="386">
        <f t="shared" si="180"/>
        <v>916</v>
      </c>
      <c r="Y116" s="547">
        <f t="shared" si="180"/>
        <v>497</v>
      </c>
      <c r="Z116" s="255">
        <f t="shared" si="181"/>
        <v>-45.7</v>
      </c>
      <c r="AA116" s="642">
        <v>6704</v>
      </c>
      <c r="AB116" s="642">
        <v>4274</v>
      </c>
      <c r="AC116" s="255">
        <f t="shared" si="182"/>
        <v>-36.200000000000003</v>
      </c>
      <c r="AD116" s="386">
        <f t="shared" si="183"/>
        <v>1788</v>
      </c>
      <c r="AE116" s="574">
        <f t="shared" si="183"/>
        <v>992</v>
      </c>
      <c r="AF116" s="541">
        <f t="shared" si="184"/>
        <v>-44.5</v>
      </c>
      <c r="AG116" s="547">
        <v>8492</v>
      </c>
      <c r="AH116" s="547">
        <v>5266</v>
      </c>
      <c r="AI116" s="255">
        <f t="shared" si="185"/>
        <v>-38</v>
      </c>
    </row>
    <row r="117" spans="1:35" ht="17.25" customHeight="1">
      <c r="A117" s="92"/>
      <c r="B117" s="860"/>
      <c r="C117" s="329" t="s">
        <v>319</v>
      </c>
      <c r="D117" s="325">
        <v>37</v>
      </c>
      <c r="E117" s="325">
        <v>0</v>
      </c>
      <c r="F117" s="325">
        <v>36</v>
      </c>
      <c r="G117" s="94">
        <v>10704</v>
      </c>
      <c r="H117" s="94">
        <v>7591</v>
      </c>
      <c r="I117" s="642">
        <v>0</v>
      </c>
      <c r="J117" s="642">
        <v>974</v>
      </c>
      <c r="K117" s="570">
        <v>0</v>
      </c>
      <c r="L117" s="386">
        <f t="shared" si="173"/>
        <v>3910</v>
      </c>
      <c r="M117" s="547">
        <f t="shared" si="173"/>
        <v>351</v>
      </c>
      <c r="N117" s="541">
        <f t="shared" si="174"/>
        <v>-91</v>
      </c>
      <c r="O117" s="547">
        <v>3910</v>
      </c>
      <c r="P117" s="547">
        <v>1325</v>
      </c>
      <c r="Q117" s="255">
        <f t="shared" si="175"/>
        <v>-66.099999999999994</v>
      </c>
      <c r="R117" s="574">
        <f t="shared" si="186"/>
        <v>1017</v>
      </c>
      <c r="S117" s="547">
        <f t="shared" si="187"/>
        <v>1210</v>
      </c>
      <c r="T117" s="541">
        <f t="shared" si="188"/>
        <v>19</v>
      </c>
      <c r="U117" s="547">
        <v>4927</v>
      </c>
      <c r="V117" s="547">
        <v>2535</v>
      </c>
      <c r="W117" s="541">
        <f t="shared" si="179"/>
        <v>-48.5</v>
      </c>
      <c r="X117" s="386">
        <f t="shared" si="180"/>
        <v>25</v>
      </c>
      <c r="Y117" s="547">
        <f t="shared" si="180"/>
        <v>1557</v>
      </c>
      <c r="Z117" s="255">
        <f t="shared" si="181"/>
        <v>6128</v>
      </c>
      <c r="AA117" s="642">
        <v>4952</v>
      </c>
      <c r="AB117" s="642">
        <v>4092</v>
      </c>
      <c r="AC117" s="255">
        <f t="shared" si="182"/>
        <v>-17.399999999999999</v>
      </c>
      <c r="AD117" s="386">
        <f t="shared" si="183"/>
        <v>883</v>
      </c>
      <c r="AE117" s="574">
        <f t="shared" si="183"/>
        <v>1986</v>
      </c>
      <c r="AF117" s="255">
        <f t="shared" si="184"/>
        <v>124.9</v>
      </c>
      <c r="AG117" s="547">
        <v>5835</v>
      </c>
      <c r="AH117" s="547">
        <v>6078</v>
      </c>
      <c r="AI117" s="255">
        <f t="shared" si="185"/>
        <v>4.2</v>
      </c>
    </row>
    <row r="118" spans="1:35" s="167" customFormat="1">
      <c r="A118" s="322"/>
      <c r="B118" s="860"/>
      <c r="C118" s="101" t="s">
        <v>443</v>
      </c>
      <c r="D118" s="94">
        <v>0</v>
      </c>
      <c r="E118" s="94">
        <v>11</v>
      </c>
      <c r="F118" s="94">
        <v>0</v>
      </c>
      <c r="G118" s="94">
        <v>1427</v>
      </c>
      <c r="H118" s="94">
        <v>6242</v>
      </c>
      <c r="I118" s="642">
        <v>0</v>
      </c>
      <c r="J118" s="642">
        <v>0</v>
      </c>
      <c r="K118" s="570">
        <v>0</v>
      </c>
      <c r="L118" s="386">
        <f t="shared" si="173"/>
        <v>2121</v>
      </c>
      <c r="M118" s="547">
        <f t="shared" si="173"/>
        <v>0</v>
      </c>
      <c r="N118" s="541">
        <f t="shared" si="174"/>
        <v>-100</v>
      </c>
      <c r="O118" s="547">
        <v>2121</v>
      </c>
      <c r="P118" s="547">
        <v>0</v>
      </c>
      <c r="Q118" s="541">
        <f t="shared" si="175"/>
        <v>-100</v>
      </c>
      <c r="R118" s="574">
        <f t="shared" si="186"/>
        <v>0</v>
      </c>
      <c r="S118" s="547">
        <f t="shared" si="187"/>
        <v>0</v>
      </c>
      <c r="T118" s="570">
        <v>0</v>
      </c>
      <c r="U118" s="547">
        <v>2121</v>
      </c>
      <c r="V118" s="547">
        <v>0</v>
      </c>
      <c r="W118" s="541">
        <f t="shared" si="179"/>
        <v>-100</v>
      </c>
      <c r="X118" s="386">
        <f t="shared" si="180"/>
        <v>0</v>
      </c>
      <c r="Y118" s="547">
        <f t="shared" si="180"/>
        <v>0</v>
      </c>
      <c r="Z118" s="570">
        <v>0</v>
      </c>
      <c r="AA118" s="642">
        <v>2121</v>
      </c>
      <c r="AB118" s="642">
        <v>0</v>
      </c>
      <c r="AC118" s="541">
        <f t="shared" si="182"/>
        <v>-100</v>
      </c>
      <c r="AD118" s="574">
        <f t="shared" ref="AD118:AE127" si="189">AG118-AA118</f>
        <v>1496</v>
      </c>
      <c r="AE118" s="574">
        <f t="shared" si="189"/>
        <v>0</v>
      </c>
      <c r="AF118" s="541">
        <f t="shared" ref="AF118:AF122" si="190">ROUND(((AE118/AD118-1)*100), 1)</f>
        <v>-100</v>
      </c>
      <c r="AG118" s="547">
        <v>3617</v>
      </c>
      <c r="AH118" s="547">
        <v>0</v>
      </c>
      <c r="AI118" s="541">
        <f t="shared" si="185"/>
        <v>-100</v>
      </c>
    </row>
    <row r="119" spans="1:35">
      <c r="A119" s="92"/>
      <c r="B119" s="860"/>
      <c r="C119" s="101" t="s">
        <v>83</v>
      </c>
      <c r="D119" s="94">
        <v>2814</v>
      </c>
      <c r="E119" s="94">
        <v>3317</v>
      </c>
      <c r="F119" s="94">
        <v>6477</v>
      </c>
      <c r="G119" s="94">
        <v>9354</v>
      </c>
      <c r="H119" s="94">
        <v>4887</v>
      </c>
      <c r="I119" s="642">
        <v>2464</v>
      </c>
      <c r="J119" s="642">
        <v>61</v>
      </c>
      <c r="K119" s="255">
        <f>ROUND(((J119/I119-1)*100), 1)</f>
        <v>-97.5</v>
      </c>
      <c r="L119" s="386">
        <f t="shared" si="173"/>
        <v>494</v>
      </c>
      <c r="M119" s="547">
        <f t="shared" si="173"/>
        <v>0</v>
      </c>
      <c r="N119" s="541">
        <f>ROUND(((M119/L119-1)*100), 1)</f>
        <v>-100</v>
      </c>
      <c r="O119" s="547">
        <v>2958</v>
      </c>
      <c r="P119" s="547">
        <v>61</v>
      </c>
      <c r="Q119" s="541">
        <f t="shared" si="175"/>
        <v>-97.9</v>
      </c>
      <c r="R119" s="574">
        <f t="shared" si="186"/>
        <v>0</v>
      </c>
      <c r="S119" s="547">
        <f t="shared" si="187"/>
        <v>0</v>
      </c>
      <c r="T119" s="570">
        <v>0</v>
      </c>
      <c r="U119" s="547">
        <v>2958</v>
      </c>
      <c r="V119" s="547">
        <v>61</v>
      </c>
      <c r="W119" s="541">
        <f t="shared" si="179"/>
        <v>-97.9</v>
      </c>
      <c r="X119" s="386">
        <f t="shared" si="180"/>
        <v>302</v>
      </c>
      <c r="Y119" s="547">
        <f t="shared" si="180"/>
        <v>485</v>
      </c>
      <c r="Z119" s="541">
        <f t="shared" si="181"/>
        <v>60.6</v>
      </c>
      <c r="AA119" s="642">
        <v>3260</v>
      </c>
      <c r="AB119" s="642">
        <v>546</v>
      </c>
      <c r="AC119" s="541">
        <f t="shared" si="182"/>
        <v>-83.3</v>
      </c>
      <c r="AD119" s="574">
        <f t="shared" si="189"/>
        <v>277</v>
      </c>
      <c r="AE119" s="574">
        <f t="shared" si="189"/>
        <v>211</v>
      </c>
      <c r="AF119" s="541">
        <f t="shared" si="190"/>
        <v>-23.8</v>
      </c>
      <c r="AG119" s="547">
        <v>3537</v>
      </c>
      <c r="AH119" s="547">
        <v>757</v>
      </c>
      <c r="AI119" s="541">
        <f t="shared" si="185"/>
        <v>-78.599999999999994</v>
      </c>
    </row>
    <row r="120" spans="1:35">
      <c r="A120" s="92"/>
      <c r="B120" s="860"/>
      <c r="C120" s="101" t="s">
        <v>89</v>
      </c>
      <c r="D120" s="94">
        <v>13307</v>
      </c>
      <c r="E120" s="94">
        <v>9318</v>
      </c>
      <c r="F120" s="94">
        <v>10426</v>
      </c>
      <c r="G120" s="94">
        <v>11168</v>
      </c>
      <c r="H120" s="94">
        <v>2674</v>
      </c>
      <c r="I120" s="642">
        <v>652</v>
      </c>
      <c r="J120" s="642">
        <v>121</v>
      </c>
      <c r="K120" s="255">
        <f>ROUND(((J120/I120-1)*100), 1)</f>
        <v>-81.400000000000006</v>
      </c>
      <c r="L120" s="386">
        <f t="shared" si="173"/>
        <v>110</v>
      </c>
      <c r="M120" s="547">
        <f t="shared" si="173"/>
        <v>55</v>
      </c>
      <c r="N120" s="255">
        <f>ROUND(((M120/L120-1)*100), 1)</f>
        <v>-50</v>
      </c>
      <c r="O120" s="547">
        <v>762</v>
      </c>
      <c r="P120" s="547">
        <v>176</v>
      </c>
      <c r="Q120" s="541">
        <f t="shared" si="175"/>
        <v>-76.900000000000006</v>
      </c>
      <c r="R120" s="574">
        <f t="shared" si="186"/>
        <v>156</v>
      </c>
      <c r="S120" s="547">
        <f t="shared" si="187"/>
        <v>111</v>
      </c>
      <c r="T120" s="541">
        <f t="shared" si="188"/>
        <v>-28.8</v>
      </c>
      <c r="U120" s="547">
        <v>918</v>
      </c>
      <c r="V120" s="547">
        <v>287</v>
      </c>
      <c r="W120" s="541">
        <f t="shared" si="179"/>
        <v>-68.7</v>
      </c>
      <c r="X120" s="386">
        <f t="shared" si="180"/>
        <v>264</v>
      </c>
      <c r="Y120" s="547">
        <f t="shared" si="180"/>
        <v>199</v>
      </c>
      <c r="Z120" s="541">
        <f t="shared" si="181"/>
        <v>-24.6</v>
      </c>
      <c r="AA120" s="642">
        <v>1182</v>
      </c>
      <c r="AB120" s="642">
        <v>486</v>
      </c>
      <c r="AC120" s="541">
        <f t="shared" si="182"/>
        <v>-58.9</v>
      </c>
      <c r="AD120" s="574">
        <f t="shared" si="189"/>
        <v>712</v>
      </c>
      <c r="AE120" s="574">
        <f t="shared" si="189"/>
        <v>99</v>
      </c>
      <c r="AF120" s="541">
        <f t="shared" si="190"/>
        <v>-86.1</v>
      </c>
      <c r="AG120" s="547">
        <v>1894</v>
      </c>
      <c r="AH120" s="547">
        <v>585</v>
      </c>
      <c r="AI120" s="541">
        <f t="shared" si="185"/>
        <v>-69.099999999999994</v>
      </c>
    </row>
    <row r="121" spans="1:35">
      <c r="A121" s="92"/>
      <c r="B121" s="860"/>
      <c r="C121" s="101" t="s">
        <v>47</v>
      </c>
      <c r="D121" s="94">
        <v>1471</v>
      </c>
      <c r="E121" s="94">
        <v>1257</v>
      </c>
      <c r="F121" s="94">
        <v>874</v>
      </c>
      <c r="G121" s="94">
        <v>609</v>
      </c>
      <c r="H121" s="94">
        <v>523</v>
      </c>
      <c r="I121" s="642">
        <v>19</v>
      </c>
      <c r="J121" s="642">
        <v>53</v>
      </c>
      <c r="K121" s="255">
        <f>ROUND(((J121/I121-1)*100), 1)</f>
        <v>178.9</v>
      </c>
      <c r="L121" s="386">
        <f t="shared" si="173"/>
        <v>79</v>
      </c>
      <c r="M121" s="547">
        <f t="shared" si="173"/>
        <v>0</v>
      </c>
      <c r="N121" s="255">
        <f>ROUND(((M121/L121-1)*100), 1)</f>
        <v>-100</v>
      </c>
      <c r="O121" s="547">
        <v>98</v>
      </c>
      <c r="P121" s="547">
        <v>53</v>
      </c>
      <c r="Q121" s="541">
        <f t="shared" si="175"/>
        <v>-45.9</v>
      </c>
      <c r="R121" s="574">
        <f t="shared" si="186"/>
        <v>56</v>
      </c>
      <c r="S121" s="547">
        <f t="shared" si="187"/>
        <v>40</v>
      </c>
      <c r="T121" s="541">
        <f t="shared" si="188"/>
        <v>-28.6</v>
      </c>
      <c r="U121" s="547">
        <v>154</v>
      </c>
      <c r="V121" s="547">
        <v>93</v>
      </c>
      <c r="W121" s="541">
        <f t="shared" si="179"/>
        <v>-39.6</v>
      </c>
      <c r="X121" s="386">
        <f t="shared" si="180"/>
        <v>53</v>
      </c>
      <c r="Y121" s="547">
        <f t="shared" si="180"/>
        <v>80</v>
      </c>
      <c r="Z121" s="541">
        <f t="shared" si="181"/>
        <v>50.9</v>
      </c>
      <c r="AA121" s="642">
        <v>207</v>
      </c>
      <c r="AB121" s="642">
        <v>173</v>
      </c>
      <c r="AC121" s="541">
        <f t="shared" si="182"/>
        <v>-16.399999999999999</v>
      </c>
      <c r="AD121" s="574">
        <f t="shared" si="189"/>
        <v>37</v>
      </c>
      <c r="AE121" s="574">
        <f t="shared" si="189"/>
        <v>56</v>
      </c>
      <c r="AF121" s="541">
        <f t="shared" si="190"/>
        <v>51.4</v>
      </c>
      <c r="AG121" s="547">
        <v>244</v>
      </c>
      <c r="AH121" s="547">
        <v>229</v>
      </c>
      <c r="AI121" s="541">
        <f t="shared" si="185"/>
        <v>-6.1</v>
      </c>
    </row>
    <row r="122" spans="1:35" s="277" customFormat="1">
      <c r="A122" s="397"/>
      <c r="B122" s="860"/>
      <c r="C122" s="101" t="s">
        <v>46</v>
      </c>
      <c r="D122" s="94">
        <v>384</v>
      </c>
      <c r="E122" s="94">
        <v>879</v>
      </c>
      <c r="F122" s="94">
        <v>504</v>
      </c>
      <c r="G122" s="94">
        <v>265</v>
      </c>
      <c r="H122" s="94">
        <v>339</v>
      </c>
      <c r="I122" s="642">
        <v>95</v>
      </c>
      <c r="J122" s="642">
        <v>54</v>
      </c>
      <c r="K122" s="541">
        <f t="shared" ref="K122:K124" si="191">ROUND(((J122/I122-1)*100), 1)</f>
        <v>-43.2</v>
      </c>
      <c r="L122" s="386">
        <f t="shared" si="173"/>
        <v>74</v>
      </c>
      <c r="M122" s="547">
        <f t="shared" si="173"/>
        <v>0</v>
      </c>
      <c r="N122" s="541">
        <f>ROUND(((M122/L122-1)*100), 1)</f>
        <v>-100</v>
      </c>
      <c r="O122" s="547">
        <v>169</v>
      </c>
      <c r="P122" s="547">
        <v>54</v>
      </c>
      <c r="Q122" s="541">
        <f t="shared" si="175"/>
        <v>-68</v>
      </c>
      <c r="R122" s="574">
        <f t="shared" si="186"/>
        <v>66</v>
      </c>
      <c r="S122" s="547">
        <f t="shared" si="187"/>
        <v>0</v>
      </c>
      <c r="T122" s="541">
        <f t="shared" si="188"/>
        <v>-100</v>
      </c>
      <c r="U122" s="547">
        <v>235</v>
      </c>
      <c r="V122" s="547">
        <v>54</v>
      </c>
      <c r="W122" s="541">
        <f t="shared" si="179"/>
        <v>-77</v>
      </c>
      <c r="X122" s="386">
        <f t="shared" si="180"/>
        <v>18</v>
      </c>
      <c r="Y122" s="547">
        <f t="shared" si="180"/>
        <v>0</v>
      </c>
      <c r="Z122" s="541">
        <f t="shared" si="181"/>
        <v>-100</v>
      </c>
      <c r="AA122" s="642">
        <v>253</v>
      </c>
      <c r="AB122" s="642">
        <v>54</v>
      </c>
      <c r="AC122" s="541">
        <f t="shared" si="182"/>
        <v>-78.7</v>
      </c>
      <c r="AD122" s="574">
        <f t="shared" si="189"/>
        <v>8</v>
      </c>
      <c r="AE122" s="574">
        <f t="shared" si="189"/>
        <v>0</v>
      </c>
      <c r="AF122" s="541">
        <f t="shared" si="190"/>
        <v>-100</v>
      </c>
      <c r="AG122" s="547">
        <v>261</v>
      </c>
      <c r="AH122" s="547">
        <v>54</v>
      </c>
      <c r="AI122" s="541">
        <f t="shared" si="185"/>
        <v>-79.3</v>
      </c>
    </row>
    <row r="123" spans="1:35">
      <c r="A123" s="92"/>
      <c r="B123" s="860"/>
      <c r="C123" s="101" t="s">
        <v>444</v>
      </c>
      <c r="D123" s="94">
        <v>0</v>
      </c>
      <c r="E123" s="94">
        <v>0</v>
      </c>
      <c r="F123" s="94">
        <v>105</v>
      </c>
      <c r="G123" s="94">
        <v>460</v>
      </c>
      <c r="H123" s="94">
        <v>248</v>
      </c>
      <c r="I123" s="642">
        <v>0</v>
      </c>
      <c r="J123" s="642">
        <v>0</v>
      </c>
      <c r="K123" s="541" t="e">
        <f t="shared" si="191"/>
        <v>#DIV/0!</v>
      </c>
      <c r="L123" s="574">
        <f t="shared" ref="L123:L127" si="192">O123-I123</f>
        <v>0</v>
      </c>
      <c r="M123" s="547">
        <f t="shared" ref="M123:M127" si="193">P123-J123</f>
        <v>0</v>
      </c>
      <c r="N123" s="570">
        <v>0</v>
      </c>
      <c r="O123" s="547">
        <v>0</v>
      </c>
      <c r="P123" s="547">
        <v>0</v>
      </c>
      <c r="Q123" s="570">
        <v>0</v>
      </c>
      <c r="R123" s="574">
        <f t="shared" si="186"/>
        <v>0</v>
      </c>
      <c r="S123" s="547">
        <f t="shared" si="187"/>
        <v>0</v>
      </c>
      <c r="T123" s="570">
        <v>0</v>
      </c>
      <c r="U123" s="547">
        <v>0</v>
      </c>
      <c r="V123" s="547">
        <v>0</v>
      </c>
      <c r="W123" s="570">
        <v>0</v>
      </c>
      <c r="X123" s="574">
        <f t="shared" si="180"/>
        <v>0</v>
      </c>
      <c r="Y123" s="547">
        <f t="shared" si="180"/>
        <v>0</v>
      </c>
      <c r="Z123" s="570">
        <v>0</v>
      </c>
      <c r="AA123" s="642">
        <v>0</v>
      </c>
      <c r="AB123" s="642">
        <v>0</v>
      </c>
      <c r="AC123" s="570">
        <v>0</v>
      </c>
      <c r="AD123" s="574">
        <f t="shared" si="189"/>
        <v>0</v>
      </c>
      <c r="AE123" s="574">
        <f t="shared" si="189"/>
        <v>0</v>
      </c>
      <c r="AF123" s="570">
        <v>0</v>
      </c>
      <c r="AG123" s="547">
        <v>0</v>
      </c>
      <c r="AH123" s="547">
        <v>0</v>
      </c>
      <c r="AI123" s="570">
        <v>0</v>
      </c>
    </row>
    <row r="124" spans="1:35" s="605" customFormat="1">
      <c r="A124" s="676"/>
      <c r="B124" s="860"/>
      <c r="C124" s="101" t="s">
        <v>532</v>
      </c>
      <c r="D124" s="94">
        <v>0</v>
      </c>
      <c r="E124" s="94">
        <v>0</v>
      </c>
      <c r="F124" s="94">
        <v>7</v>
      </c>
      <c r="G124" s="94">
        <v>39</v>
      </c>
      <c r="H124" s="94">
        <v>232</v>
      </c>
      <c r="I124" s="642">
        <v>78</v>
      </c>
      <c r="J124" s="642">
        <v>0</v>
      </c>
      <c r="K124" s="541">
        <f t="shared" si="191"/>
        <v>-100</v>
      </c>
      <c r="L124" s="574">
        <f t="shared" si="192"/>
        <v>77</v>
      </c>
      <c r="M124" s="547">
        <f t="shared" si="193"/>
        <v>0</v>
      </c>
      <c r="N124" s="541">
        <f>ROUND(((M124/L124-1)*100), 1)</f>
        <v>-100</v>
      </c>
      <c r="O124" s="547">
        <v>155</v>
      </c>
      <c r="P124" s="547">
        <v>0</v>
      </c>
      <c r="Q124" s="541">
        <f t="shared" si="175"/>
        <v>-100</v>
      </c>
      <c r="R124" s="574">
        <f t="shared" si="186"/>
        <v>77</v>
      </c>
      <c r="S124" s="547">
        <f t="shared" si="187"/>
        <v>23</v>
      </c>
      <c r="T124" s="541">
        <f t="shared" si="188"/>
        <v>-70.099999999999994</v>
      </c>
      <c r="U124" s="547">
        <v>232</v>
      </c>
      <c r="V124" s="547">
        <v>23</v>
      </c>
      <c r="W124" s="541">
        <f t="shared" si="179"/>
        <v>-90.1</v>
      </c>
      <c r="X124" s="574">
        <f t="shared" si="180"/>
        <v>0</v>
      </c>
      <c r="Y124" s="547">
        <f t="shared" si="180"/>
        <v>0</v>
      </c>
      <c r="Z124" s="570">
        <v>0</v>
      </c>
      <c r="AA124" s="642">
        <v>232</v>
      </c>
      <c r="AB124" s="642">
        <v>23</v>
      </c>
      <c r="AC124" s="541">
        <f t="shared" si="182"/>
        <v>-90.1</v>
      </c>
      <c r="AD124" s="574">
        <f t="shared" si="189"/>
        <v>0</v>
      </c>
      <c r="AE124" s="574">
        <f t="shared" si="189"/>
        <v>0</v>
      </c>
      <c r="AF124" s="570">
        <v>0</v>
      </c>
      <c r="AG124" s="547">
        <v>232</v>
      </c>
      <c r="AH124" s="547">
        <v>23</v>
      </c>
      <c r="AI124" s="541">
        <f t="shared" si="185"/>
        <v>-90.1</v>
      </c>
    </row>
    <row r="125" spans="1:35">
      <c r="A125" s="92"/>
      <c r="B125" s="860"/>
      <c r="C125" s="101" t="s">
        <v>207</v>
      </c>
      <c r="D125" s="94">
        <v>4398</v>
      </c>
      <c r="E125" s="94">
        <v>682</v>
      </c>
      <c r="F125" s="94">
        <v>1098</v>
      </c>
      <c r="G125" s="94">
        <v>2524</v>
      </c>
      <c r="H125" s="94">
        <v>199</v>
      </c>
      <c r="I125" s="642">
        <v>0</v>
      </c>
      <c r="J125" s="642">
        <v>0</v>
      </c>
      <c r="K125" s="570">
        <v>0</v>
      </c>
      <c r="L125" s="574">
        <f t="shared" si="192"/>
        <v>0</v>
      </c>
      <c r="M125" s="547">
        <f t="shared" si="193"/>
        <v>0</v>
      </c>
      <c r="N125" s="570">
        <v>0</v>
      </c>
      <c r="O125" s="547">
        <v>0</v>
      </c>
      <c r="P125" s="547">
        <v>0</v>
      </c>
      <c r="Q125" s="570">
        <v>0</v>
      </c>
      <c r="R125" s="574">
        <f t="shared" si="186"/>
        <v>199</v>
      </c>
      <c r="S125" s="547">
        <f t="shared" si="187"/>
        <v>0</v>
      </c>
      <c r="T125" s="541">
        <f t="shared" si="188"/>
        <v>-100</v>
      </c>
      <c r="U125" s="547">
        <v>199</v>
      </c>
      <c r="V125" s="547">
        <v>0</v>
      </c>
      <c r="W125" s="541">
        <f t="shared" si="179"/>
        <v>-100</v>
      </c>
      <c r="X125" s="574">
        <f t="shared" si="180"/>
        <v>0</v>
      </c>
      <c r="Y125" s="547">
        <f t="shared" si="180"/>
        <v>0</v>
      </c>
      <c r="Z125" s="570">
        <v>0</v>
      </c>
      <c r="AA125" s="642">
        <v>199</v>
      </c>
      <c r="AB125" s="642">
        <v>0</v>
      </c>
      <c r="AC125" s="541">
        <f t="shared" si="182"/>
        <v>-100</v>
      </c>
      <c r="AD125" s="574">
        <f t="shared" si="189"/>
        <v>0</v>
      </c>
      <c r="AE125" s="574">
        <f t="shared" si="189"/>
        <v>23</v>
      </c>
      <c r="AF125" s="570">
        <v>0</v>
      </c>
      <c r="AG125" s="547">
        <v>199</v>
      </c>
      <c r="AH125" s="547">
        <v>23</v>
      </c>
      <c r="AI125" s="541">
        <f t="shared" si="185"/>
        <v>-88.4</v>
      </c>
    </row>
    <row r="126" spans="1:35" s="605" customFormat="1">
      <c r="A126" s="676"/>
      <c r="B126" s="860"/>
      <c r="C126" s="101" t="s">
        <v>534</v>
      </c>
      <c r="D126" s="94">
        <v>0</v>
      </c>
      <c r="E126" s="94">
        <v>0</v>
      </c>
      <c r="F126" s="94">
        <v>0</v>
      </c>
      <c r="G126" s="94">
        <v>0</v>
      </c>
      <c r="H126" s="94">
        <v>164</v>
      </c>
      <c r="I126" s="642">
        <v>0</v>
      </c>
      <c r="J126" s="642">
        <v>71</v>
      </c>
      <c r="K126" s="570">
        <v>0</v>
      </c>
      <c r="L126" s="574">
        <f t="shared" si="192"/>
        <v>0</v>
      </c>
      <c r="M126" s="547">
        <f t="shared" si="193"/>
        <v>0</v>
      </c>
      <c r="N126" s="570">
        <v>0</v>
      </c>
      <c r="O126" s="547">
        <v>0</v>
      </c>
      <c r="P126" s="547">
        <v>71</v>
      </c>
      <c r="Q126" s="570">
        <v>0</v>
      </c>
      <c r="R126" s="574">
        <f t="shared" si="186"/>
        <v>0</v>
      </c>
      <c r="S126" s="547">
        <f t="shared" si="187"/>
        <v>0</v>
      </c>
      <c r="T126" s="570">
        <v>0</v>
      </c>
      <c r="U126" s="547">
        <v>0</v>
      </c>
      <c r="V126" s="547">
        <v>71</v>
      </c>
      <c r="W126" s="570">
        <v>0</v>
      </c>
      <c r="X126" s="574">
        <f t="shared" si="180"/>
        <v>0</v>
      </c>
      <c r="Y126" s="547">
        <f t="shared" si="180"/>
        <v>0</v>
      </c>
      <c r="Z126" s="570">
        <v>0</v>
      </c>
      <c r="AA126" s="642">
        <v>0</v>
      </c>
      <c r="AB126" s="642">
        <v>71</v>
      </c>
      <c r="AC126" s="570">
        <v>0</v>
      </c>
      <c r="AD126" s="574">
        <f t="shared" si="189"/>
        <v>0</v>
      </c>
      <c r="AE126" s="574">
        <f t="shared" si="189"/>
        <v>0</v>
      </c>
      <c r="AF126" s="570">
        <v>0</v>
      </c>
      <c r="AG126" s="547">
        <v>0</v>
      </c>
      <c r="AH126" s="547">
        <v>71</v>
      </c>
      <c r="AI126" s="570">
        <v>0</v>
      </c>
    </row>
    <row r="127" spans="1:35" s="605" customFormat="1">
      <c r="A127" s="676"/>
      <c r="B127" s="860"/>
      <c r="C127" s="101" t="s">
        <v>535</v>
      </c>
      <c r="D127" s="94">
        <v>0</v>
      </c>
      <c r="E127" s="94">
        <v>0</v>
      </c>
      <c r="F127" s="94">
        <v>0</v>
      </c>
      <c r="G127" s="94">
        <v>99</v>
      </c>
      <c r="H127" s="94">
        <v>159</v>
      </c>
      <c r="I127" s="642">
        <v>0</v>
      </c>
      <c r="J127" s="642">
        <v>0</v>
      </c>
      <c r="K127" s="570">
        <v>0</v>
      </c>
      <c r="L127" s="574">
        <f t="shared" si="192"/>
        <v>19</v>
      </c>
      <c r="M127" s="547">
        <f t="shared" si="193"/>
        <v>0</v>
      </c>
      <c r="N127" s="541">
        <f t="shared" ref="N127" si="194">ROUND(((M127/L127-1)*100), 1)</f>
        <v>-100</v>
      </c>
      <c r="O127" s="547">
        <v>19</v>
      </c>
      <c r="P127" s="547">
        <v>0</v>
      </c>
      <c r="Q127" s="541">
        <f t="shared" si="175"/>
        <v>-100</v>
      </c>
      <c r="R127" s="574">
        <f t="shared" si="186"/>
        <v>31</v>
      </c>
      <c r="S127" s="547">
        <f t="shared" si="187"/>
        <v>20</v>
      </c>
      <c r="T127" s="541">
        <f t="shared" si="188"/>
        <v>-35.5</v>
      </c>
      <c r="U127" s="547">
        <v>50</v>
      </c>
      <c r="V127" s="547">
        <v>20</v>
      </c>
      <c r="W127" s="541">
        <f t="shared" si="179"/>
        <v>-60</v>
      </c>
      <c r="X127" s="574">
        <f t="shared" ref="X127" si="195">AA127-U127</f>
        <v>20</v>
      </c>
      <c r="Y127" s="547">
        <f t="shared" ref="Y127:Y128" si="196">AB127-V127</f>
        <v>0</v>
      </c>
      <c r="Z127" s="570">
        <v>0</v>
      </c>
      <c r="AA127" s="642">
        <v>70</v>
      </c>
      <c r="AB127" s="642">
        <v>20</v>
      </c>
      <c r="AC127" s="541">
        <f t="shared" si="182"/>
        <v>-71.400000000000006</v>
      </c>
      <c r="AD127" s="574">
        <f t="shared" si="189"/>
        <v>0</v>
      </c>
      <c r="AE127" s="574">
        <f t="shared" si="189"/>
        <v>19</v>
      </c>
      <c r="AF127" s="570">
        <v>0</v>
      </c>
      <c r="AG127" s="547">
        <v>70</v>
      </c>
      <c r="AH127" s="547">
        <v>39</v>
      </c>
      <c r="AI127" s="541">
        <f t="shared" si="185"/>
        <v>-44.3</v>
      </c>
    </row>
    <row r="128" spans="1:35">
      <c r="A128" s="92"/>
      <c r="B128" s="860"/>
      <c r="C128" s="329" t="s">
        <v>304</v>
      </c>
      <c r="D128" s="325">
        <v>83</v>
      </c>
      <c r="E128" s="325">
        <v>55</v>
      </c>
      <c r="F128" s="325">
        <v>7912</v>
      </c>
      <c r="G128" s="94">
        <v>21448</v>
      </c>
      <c r="H128" s="94">
        <v>40</v>
      </c>
      <c r="I128" s="642">
        <v>0</v>
      </c>
      <c r="J128" s="642">
        <v>0</v>
      </c>
      <c r="K128" s="570">
        <v>0</v>
      </c>
      <c r="L128" s="386">
        <f>O128-I128</f>
        <v>20</v>
      </c>
      <c r="M128" s="547">
        <f>P128-J128</f>
        <v>0</v>
      </c>
      <c r="N128" s="255">
        <f>ROUND(((M128/L128-1)*100), 1)</f>
        <v>-100</v>
      </c>
      <c r="O128" s="547">
        <v>20</v>
      </c>
      <c r="P128" s="547">
        <v>0</v>
      </c>
      <c r="Q128" s="255">
        <f>ROUND(((P128/O128-1)*100), 1)</f>
        <v>-100</v>
      </c>
      <c r="R128" s="574">
        <f t="shared" si="186"/>
        <v>0</v>
      </c>
      <c r="S128" s="547">
        <f t="shared" si="187"/>
        <v>0</v>
      </c>
      <c r="T128" s="570">
        <v>0</v>
      </c>
      <c r="U128" s="547">
        <v>20</v>
      </c>
      <c r="V128" s="547">
        <v>0</v>
      </c>
      <c r="W128" s="255">
        <f>ROUND(((V128/U128-1)*100), 1)</f>
        <v>-100</v>
      </c>
      <c r="X128" s="386">
        <f>AA128-U128</f>
        <v>20</v>
      </c>
      <c r="Y128" s="547">
        <f t="shared" si="196"/>
        <v>0</v>
      </c>
      <c r="Z128" s="541">
        <f>ROUND(((Y128/X128-1)*100), 1)</f>
        <v>-100</v>
      </c>
      <c r="AA128" s="642">
        <v>40</v>
      </c>
      <c r="AB128" s="642">
        <v>0</v>
      </c>
      <c r="AC128" s="255">
        <f>ROUND(((AB128/AA128-1)*100), 1)</f>
        <v>-100</v>
      </c>
      <c r="AD128" s="386">
        <f>AG128-AA128</f>
        <v>0</v>
      </c>
      <c r="AE128" s="574">
        <f>AH128-AB128</f>
        <v>0</v>
      </c>
      <c r="AF128" s="464">
        <v>0</v>
      </c>
      <c r="AG128" s="547">
        <v>40</v>
      </c>
      <c r="AH128" s="547">
        <v>0</v>
      </c>
      <c r="AI128" s="255">
        <f>ROUND(((AH128/AG128-1)*100), 1)</f>
        <v>-100</v>
      </c>
    </row>
    <row r="129" spans="1:35">
      <c r="A129" s="92"/>
      <c r="B129" s="860"/>
      <c r="C129" s="101" t="s">
        <v>18</v>
      </c>
      <c r="D129" s="94">
        <f t="shared" ref="D129:J129" si="197">D130-SUM(D111:D128)</f>
        <v>12950</v>
      </c>
      <c r="E129" s="94">
        <f t="shared" si="197"/>
        <v>8166</v>
      </c>
      <c r="F129" s="94">
        <f t="shared" si="197"/>
        <v>4627</v>
      </c>
      <c r="G129" s="94">
        <f t="shared" si="197"/>
        <v>1363</v>
      </c>
      <c r="H129" s="94">
        <f t="shared" si="197"/>
        <v>218</v>
      </c>
      <c r="I129" s="642">
        <f t="shared" si="197"/>
        <v>0</v>
      </c>
      <c r="J129" s="642">
        <f t="shared" si="197"/>
        <v>5</v>
      </c>
      <c r="K129" s="543">
        <v>0</v>
      </c>
      <c r="L129" s="386">
        <f>L130-SUM(L111:L128)</f>
        <v>1</v>
      </c>
      <c r="M129" s="547">
        <f>M130-SUM(M111:M128)</f>
        <v>2</v>
      </c>
      <c r="N129" s="255">
        <f t="shared" ref="N129:N130" si="198">ROUND(((M129/L129-1)*100), 1)</f>
        <v>100</v>
      </c>
      <c r="O129" s="547">
        <f>O130-SUM(O111:O128)</f>
        <v>1</v>
      </c>
      <c r="P129" s="547">
        <f>P130-SUM(P111:P128)</f>
        <v>7</v>
      </c>
      <c r="Q129" s="255">
        <f t="shared" ref="Q129:Q130" si="199">ROUND(((P129/O129-1)*100), 1)</f>
        <v>600</v>
      </c>
      <c r="R129" s="574">
        <f>R130-SUM(R111:R128)</f>
        <v>0</v>
      </c>
      <c r="S129" s="547">
        <f>S130-SUM(S111:S128)</f>
        <v>52</v>
      </c>
      <c r="T129" s="466">
        <v>0</v>
      </c>
      <c r="U129" s="547">
        <f>U130-SUM(U111:U128)</f>
        <v>1</v>
      </c>
      <c r="V129" s="547">
        <f>V130-SUM(V111:V128)</f>
        <v>59</v>
      </c>
      <c r="W129" s="255">
        <f t="shared" ref="W129:W130" si="200">ROUND(((V129/U129-1)*100), 1)</f>
        <v>5800</v>
      </c>
      <c r="X129" s="386">
        <f>X130-SUM(X111:X128)</f>
        <v>20</v>
      </c>
      <c r="Y129" s="547">
        <f>Y130-SUM(Y111:Y128)</f>
        <v>2</v>
      </c>
      <c r="Z129" s="255">
        <f t="shared" ref="Z129" si="201">ROUND(((Y129/X129-1)*100), 1)</f>
        <v>-90</v>
      </c>
      <c r="AA129" s="642">
        <f>AA130-SUM(AA111:AA128)</f>
        <v>21</v>
      </c>
      <c r="AB129" s="642">
        <f>AB130-SUM(AB111:AB128)</f>
        <v>61</v>
      </c>
      <c r="AC129" s="255">
        <f t="shared" ref="AC129:AC130" si="202">ROUND(((AB129/AA129-1)*100), 1)</f>
        <v>190.5</v>
      </c>
      <c r="AD129" s="386">
        <f>AD130-SUM(AD111:AD128)</f>
        <v>3</v>
      </c>
      <c r="AE129" s="574">
        <f>AE130-SUM(AE111:AE128)</f>
        <v>0</v>
      </c>
      <c r="AF129" s="255">
        <f t="shared" ref="AF129:AF130" si="203">ROUND(((AE129/AD129-1)*100), 1)</f>
        <v>-100</v>
      </c>
      <c r="AG129" s="547">
        <f>AG130-SUM(AG111:AG128)</f>
        <v>24</v>
      </c>
      <c r="AH129" s="547">
        <f>AH130-SUM(AH111:AH128)</f>
        <v>61</v>
      </c>
      <c r="AI129" s="255">
        <f t="shared" ref="AI129:AI130" si="204">ROUND(((AH129/AG129-1)*100), 1)</f>
        <v>154.19999999999999</v>
      </c>
    </row>
    <row r="130" spans="1:35">
      <c r="A130" s="92"/>
      <c r="B130" s="861"/>
      <c r="C130" s="41" t="s">
        <v>199</v>
      </c>
      <c r="D130" s="95">
        <v>308609</v>
      </c>
      <c r="E130" s="95">
        <v>356918</v>
      </c>
      <c r="F130" s="95">
        <v>317722</v>
      </c>
      <c r="G130" s="95">
        <v>269975</v>
      </c>
      <c r="H130" s="95">
        <v>280701</v>
      </c>
      <c r="I130" s="644">
        <v>21856</v>
      </c>
      <c r="J130" s="644">
        <v>29265</v>
      </c>
      <c r="K130" s="256">
        <f t="shared" ref="K130:K143" si="205">ROUND(((J130/I130-1)*100), 1)</f>
        <v>33.9</v>
      </c>
      <c r="L130" s="381">
        <f t="shared" ref="L130:M130" si="206">O130-I130</f>
        <v>27238</v>
      </c>
      <c r="M130" s="548">
        <f t="shared" si="206"/>
        <v>20210</v>
      </c>
      <c r="N130" s="256">
        <f t="shared" si="198"/>
        <v>-25.8</v>
      </c>
      <c r="O130" s="548">
        <v>49094</v>
      </c>
      <c r="P130" s="548">
        <v>49475</v>
      </c>
      <c r="Q130" s="256">
        <f t="shared" si="199"/>
        <v>0.8</v>
      </c>
      <c r="R130" s="554">
        <f t="shared" ref="R130:R133" si="207">U130-O130</f>
        <v>21699</v>
      </c>
      <c r="S130" s="548">
        <f t="shared" ref="S130:S133" si="208">V130-P130</f>
        <v>32400</v>
      </c>
      <c r="T130" s="256">
        <f t="shared" ref="T130" si="209">ROUND(((S130/R130-1)*100), 1)</f>
        <v>49.3</v>
      </c>
      <c r="U130" s="548">
        <v>70793</v>
      </c>
      <c r="V130" s="548">
        <v>81875</v>
      </c>
      <c r="W130" s="256">
        <f t="shared" si="200"/>
        <v>15.7</v>
      </c>
      <c r="X130" s="381">
        <f t="shared" ref="X130:Y145" si="210">AA130-U130</f>
        <v>23089</v>
      </c>
      <c r="Y130" s="548">
        <f t="shared" si="210"/>
        <v>28517</v>
      </c>
      <c r="Z130" s="256">
        <f t="shared" ref="Z130" si="211">ROUND(((Y130/X130-1)*100), 1)</f>
        <v>23.5</v>
      </c>
      <c r="AA130" s="644">
        <v>93882</v>
      </c>
      <c r="AB130" s="644">
        <v>110392</v>
      </c>
      <c r="AC130" s="256">
        <f t="shared" si="202"/>
        <v>17.600000000000001</v>
      </c>
      <c r="AD130" s="381">
        <f t="shared" ref="AD130:AE130" si="212">AG130-AA130</f>
        <v>21273</v>
      </c>
      <c r="AE130" s="554">
        <f t="shared" si="212"/>
        <v>25036</v>
      </c>
      <c r="AF130" s="256">
        <f t="shared" si="203"/>
        <v>17.7</v>
      </c>
      <c r="AG130" s="548">
        <v>115155</v>
      </c>
      <c r="AH130" s="548">
        <v>135428</v>
      </c>
      <c r="AI130" s="256">
        <f t="shared" si="204"/>
        <v>17.600000000000001</v>
      </c>
    </row>
    <row r="131" spans="1:35">
      <c r="A131" s="92"/>
      <c r="B131" s="862" t="s">
        <v>277</v>
      </c>
      <c r="C131" s="101" t="s">
        <v>57</v>
      </c>
      <c r="D131" s="94">
        <v>1609</v>
      </c>
      <c r="E131" s="94">
        <v>7876</v>
      </c>
      <c r="F131" s="94">
        <v>20667</v>
      </c>
      <c r="G131" s="94">
        <v>41199</v>
      </c>
      <c r="H131" s="94">
        <v>18928</v>
      </c>
      <c r="I131" s="642">
        <v>2481</v>
      </c>
      <c r="J131" s="642">
        <v>233</v>
      </c>
      <c r="K131" s="255">
        <f t="shared" si="205"/>
        <v>-90.6</v>
      </c>
      <c r="L131" s="386">
        <f t="shared" ref="L131:M136" si="213">O131-I131</f>
        <v>3231</v>
      </c>
      <c r="M131" s="547">
        <f t="shared" si="213"/>
        <v>421</v>
      </c>
      <c r="N131" s="255">
        <f>ROUND(((M131/L131-1)*100), 1)</f>
        <v>-87</v>
      </c>
      <c r="O131" s="547">
        <v>5712</v>
      </c>
      <c r="P131" s="547">
        <v>654</v>
      </c>
      <c r="Q131" s="255">
        <f>ROUND(((P131/O131-1)*100), 1)</f>
        <v>-88.6</v>
      </c>
      <c r="R131" s="574">
        <f t="shared" si="207"/>
        <v>2408</v>
      </c>
      <c r="S131" s="547">
        <f t="shared" si="208"/>
        <v>909</v>
      </c>
      <c r="T131" s="255">
        <f t="shared" ref="T131:T132" si="214">ROUND(((S131/R131-1)*100), 1)</f>
        <v>-62.3</v>
      </c>
      <c r="U131" s="547">
        <v>8120</v>
      </c>
      <c r="V131" s="547">
        <v>1563</v>
      </c>
      <c r="W131" s="255">
        <f t="shared" ref="W131:W147" si="215">ROUND(((V131/U131-1)*100), 1)</f>
        <v>-80.8</v>
      </c>
      <c r="X131" s="386">
        <f t="shared" ref="X131:X144" si="216">AA131-U131</f>
        <v>3182</v>
      </c>
      <c r="Y131" s="547">
        <f t="shared" si="210"/>
        <v>534</v>
      </c>
      <c r="Z131" s="255">
        <f t="shared" ref="Z131:Z145" si="217">ROUND(((Y131/X131-1)*100), 1)</f>
        <v>-83.2</v>
      </c>
      <c r="AA131" s="642">
        <v>11302</v>
      </c>
      <c r="AB131" s="642">
        <v>2097</v>
      </c>
      <c r="AC131" s="255">
        <f t="shared" ref="AC131:AC147" si="218">ROUND(((AB131/AA131-1)*100), 1)</f>
        <v>-81.400000000000006</v>
      </c>
      <c r="AD131" s="386">
        <f t="shared" ref="AD131:AE133" si="219">AG131-AA131</f>
        <v>2823</v>
      </c>
      <c r="AE131" s="574">
        <f t="shared" si="219"/>
        <v>763</v>
      </c>
      <c r="AF131" s="255">
        <f t="shared" ref="AF131:AF133" si="220">ROUND(((AE131/AD131-1)*100), 1)</f>
        <v>-73</v>
      </c>
      <c r="AG131" s="547">
        <v>14125</v>
      </c>
      <c r="AH131" s="547">
        <v>2860</v>
      </c>
      <c r="AI131" s="255">
        <f t="shared" ref="AI131:AI136" si="221">ROUND(((AH131/AG131-1)*100), 1)</f>
        <v>-79.8</v>
      </c>
    </row>
    <row r="132" spans="1:35">
      <c r="A132" s="92"/>
      <c r="B132" s="860"/>
      <c r="C132" s="611" t="s">
        <v>91</v>
      </c>
      <c r="D132" s="94">
        <v>13653</v>
      </c>
      <c r="E132" s="94">
        <v>22362</v>
      </c>
      <c r="F132" s="94">
        <v>17069</v>
      </c>
      <c r="G132" s="94">
        <v>11072</v>
      </c>
      <c r="H132" s="94">
        <v>7653</v>
      </c>
      <c r="I132" s="642">
        <v>869</v>
      </c>
      <c r="J132" s="642">
        <v>142</v>
      </c>
      <c r="K132" s="255">
        <f t="shared" si="205"/>
        <v>-83.7</v>
      </c>
      <c r="L132" s="386">
        <f t="shared" si="213"/>
        <v>488</v>
      </c>
      <c r="M132" s="547">
        <f t="shared" si="213"/>
        <v>80</v>
      </c>
      <c r="N132" s="255">
        <f>ROUND(((M132/L132-1)*100), 1)</f>
        <v>-83.6</v>
      </c>
      <c r="O132" s="547">
        <v>1357</v>
      </c>
      <c r="P132" s="547">
        <v>222</v>
      </c>
      <c r="Q132" s="255">
        <f>ROUND(((P132/O132-1)*100), 1)</f>
        <v>-83.6</v>
      </c>
      <c r="R132" s="574">
        <f t="shared" si="207"/>
        <v>1210</v>
      </c>
      <c r="S132" s="547">
        <f t="shared" si="208"/>
        <v>321</v>
      </c>
      <c r="T132" s="255">
        <f t="shared" si="214"/>
        <v>-73.5</v>
      </c>
      <c r="U132" s="547">
        <v>2567</v>
      </c>
      <c r="V132" s="547">
        <v>543</v>
      </c>
      <c r="W132" s="255">
        <f t="shared" si="215"/>
        <v>-78.8</v>
      </c>
      <c r="X132" s="386">
        <f t="shared" si="216"/>
        <v>749</v>
      </c>
      <c r="Y132" s="547">
        <f t="shared" si="210"/>
        <v>307</v>
      </c>
      <c r="Z132" s="255">
        <f t="shared" si="217"/>
        <v>-59</v>
      </c>
      <c r="AA132" s="642">
        <v>3316</v>
      </c>
      <c r="AB132" s="642">
        <v>850</v>
      </c>
      <c r="AC132" s="255">
        <f t="shared" si="218"/>
        <v>-74.400000000000006</v>
      </c>
      <c r="AD132" s="386">
        <f t="shared" si="219"/>
        <v>686</v>
      </c>
      <c r="AE132" s="574">
        <f t="shared" si="219"/>
        <v>321</v>
      </c>
      <c r="AF132" s="255">
        <f t="shared" si="220"/>
        <v>-53.2</v>
      </c>
      <c r="AG132" s="547">
        <v>4002</v>
      </c>
      <c r="AH132" s="547">
        <v>1171</v>
      </c>
      <c r="AI132" s="255">
        <f t="shared" si="221"/>
        <v>-70.7</v>
      </c>
    </row>
    <row r="133" spans="1:35">
      <c r="A133" s="92"/>
      <c r="B133" s="860"/>
      <c r="C133" s="101" t="s">
        <v>79</v>
      </c>
      <c r="D133" s="94">
        <v>26430</v>
      </c>
      <c r="E133" s="94">
        <v>505</v>
      </c>
      <c r="F133" s="94">
        <v>124</v>
      </c>
      <c r="G133" s="94">
        <v>3081</v>
      </c>
      <c r="H133" s="94">
        <v>6279</v>
      </c>
      <c r="I133" s="642">
        <v>0</v>
      </c>
      <c r="J133" s="642">
        <v>552</v>
      </c>
      <c r="K133" s="570">
        <v>0</v>
      </c>
      <c r="L133" s="386">
        <f t="shared" si="213"/>
        <v>0</v>
      </c>
      <c r="M133" s="547">
        <f t="shared" si="213"/>
        <v>991</v>
      </c>
      <c r="N133" s="570">
        <v>0</v>
      </c>
      <c r="O133" s="547">
        <v>0</v>
      </c>
      <c r="P133" s="547">
        <v>1543</v>
      </c>
      <c r="Q133" s="570">
        <v>0</v>
      </c>
      <c r="R133" s="574">
        <f t="shared" si="207"/>
        <v>0</v>
      </c>
      <c r="S133" s="547">
        <f t="shared" si="208"/>
        <v>974</v>
      </c>
      <c r="T133" s="570">
        <v>0</v>
      </c>
      <c r="U133" s="547">
        <v>0</v>
      </c>
      <c r="V133" s="547">
        <v>2517</v>
      </c>
      <c r="W133" s="570">
        <v>0</v>
      </c>
      <c r="X133" s="386">
        <f t="shared" si="216"/>
        <v>362</v>
      </c>
      <c r="Y133" s="547">
        <f t="shared" si="210"/>
        <v>1259</v>
      </c>
      <c r="Z133" s="255">
        <f t="shared" si="217"/>
        <v>247.8</v>
      </c>
      <c r="AA133" s="642">
        <v>362</v>
      </c>
      <c r="AB133" s="642">
        <v>3776</v>
      </c>
      <c r="AC133" s="255">
        <f t="shared" si="218"/>
        <v>943.1</v>
      </c>
      <c r="AD133" s="386">
        <f t="shared" si="219"/>
        <v>315</v>
      </c>
      <c r="AE133" s="574">
        <f t="shared" si="219"/>
        <v>1005</v>
      </c>
      <c r="AF133" s="255">
        <f t="shared" si="220"/>
        <v>219</v>
      </c>
      <c r="AG133" s="547">
        <v>677</v>
      </c>
      <c r="AH133" s="547">
        <v>4781</v>
      </c>
      <c r="AI133" s="255">
        <f t="shared" si="221"/>
        <v>606.20000000000005</v>
      </c>
    </row>
    <row r="134" spans="1:35">
      <c r="A134" s="92"/>
      <c r="B134" s="860"/>
      <c r="C134" s="101" t="s">
        <v>54</v>
      </c>
      <c r="D134" s="94">
        <v>1848</v>
      </c>
      <c r="E134" s="94">
        <v>1370</v>
      </c>
      <c r="F134" s="94">
        <v>11705</v>
      </c>
      <c r="G134" s="94">
        <v>28696</v>
      </c>
      <c r="H134" s="94">
        <v>3816</v>
      </c>
      <c r="I134" s="642">
        <v>540</v>
      </c>
      <c r="J134" s="642">
        <v>296</v>
      </c>
      <c r="K134" s="541">
        <f t="shared" si="205"/>
        <v>-45.2</v>
      </c>
      <c r="L134" s="386">
        <f t="shared" si="213"/>
        <v>484</v>
      </c>
      <c r="M134" s="547">
        <f t="shared" si="213"/>
        <v>297</v>
      </c>
      <c r="N134" s="541">
        <f t="shared" ref="N134:N142" si="222">ROUND(((M134/L134-1)*100), 1)</f>
        <v>-38.6</v>
      </c>
      <c r="O134" s="547">
        <v>1024</v>
      </c>
      <c r="P134" s="547">
        <v>593</v>
      </c>
      <c r="Q134" s="541">
        <f t="shared" ref="Q134:Q143" si="223">ROUND(((P134/O134-1)*100), 1)</f>
        <v>-42.1</v>
      </c>
      <c r="R134" s="574">
        <f t="shared" ref="R134:R151" si="224">U134-O134</f>
        <v>296</v>
      </c>
      <c r="S134" s="547">
        <f t="shared" ref="S134:S151" si="225">V134-P134</f>
        <v>592</v>
      </c>
      <c r="T134" s="541">
        <f t="shared" ref="T134:T147" si="226">ROUND(((S134/R134-1)*100), 1)</f>
        <v>100</v>
      </c>
      <c r="U134" s="547">
        <v>1320</v>
      </c>
      <c r="V134" s="547">
        <v>1185</v>
      </c>
      <c r="W134" s="541">
        <f t="shared" si="215"/>
        <v>-10.199999999999999</v>
      </c>
      <c r="X134" s="386">
        <f t="shared" si="216"/>
        <v>357</v>
      </c>
      <c r="Y134" s="547">
        <f t="shared" si="210"/>
        <v>111</v>
      </c>
      <c r="Z134" s="255">
        <f t="shared" si="217"/>
        <v>-68.900000000000006</v>
      </c>
      <c r="AA134" s="642">
        <v>1677</v>
      </c>
      <c r="AB134" s="642">
        <v>1296</v>
      </c>
      <c r="AC134" s="255">
        <f t="shared" si="218"/>
        <v>-22.7</v>
      </c>
      <c r="AD134" s="574">
        <f t="shared" ref="AD134:AE149" si="227">AG134-AA134</f>
        <v>276</v>
      </c>
      <c r="AE134" s="574">
        <f t="shared" si="227"/>
        <v>100</v>
      </c>
      <c r="AF134" s="541">
        <f t="shared" ref="AF134:AF146" si="228">ROUND(((AE134/AD134-1)*100), 1)</f>
        <v>-63.8</v>
      </c>
      <c r="AG134" s="547">
        <v>1953</v>
      </c>
      <c r="AH134" s="547">
        <v>1396</v>
      </c>
      <c r="AI134" s="255">
        <f t="shared" si="221"/>
        <v>-28.5</v>
      </c>
    </row>
    <row r="135" spans="1:35">
      <c r="A135" s="92"/>
      <c r="B135" s="860"/>
      <c r="C135" s="101" t="s">
        <v>117</v>
      </c>
      <c r="D135" s="94">
        <v>0</v>
      </c>
      <c r="E135" s="94">
        <v>322</v>
      </c>
      <c r="F135" s="94">
        <v>5528</v>
      </c>
      <c r="G135" s="94">
        <v>21417</v>
      </c>
      <c r="H135" s="94">
        <v>2933</v>
      </c>
      <c r="I135" s="642">
        <v>494</v>
      </c>
      <c r="J135" s="642">
        <v>105</v>
      </c>
      <c r="K135" s="541">
        <f t="shared" si="205"/>
        <v>-78.7</v>
      </c>
      <c r="L135" s="386">
        <f t="shared" si="213"/>
        <v>0</v>
      </c>
      <c r="M135" s="547">
        <f t="shared" si="213"/>
        <v>0</v>
      </c>
      <c r="N135" s="570">
        <v>0</v>
      </c>
      <c r="O135" s="547">
        <v>494</v>
      </c>
      <c r="P135" s="547">
        <v>105</v>
      </c>
      <c r="Q135" s="541">
        <f t="shared" si="223"/>
        <v>-78.7</v>
      </c>
      <c r="R135" s="574">
        <f t="shared" si="224"/>
        <v>567</v>
      </c>
      <c r="S135" s="547">
        <f t="shared" si="225"/>
        <v>591</v>
      </c>
      <c r="T135" s="541">
        <f t="shared" si="226"/>
        <v>4.2</v>
      </c>
      <c r="U135" s="547">
        <v>1061</v>
      </c>
      <c r="V135" s="547">
        <v>696</v>
      </c>
      <c r="W135" s="541">
        <f t="shared" si="215"/>
        <v>-34.4</v>
      </c>
      <c r="X135" s="386">
        <f t="shared" si="216"/>
        <v>97</v>
      </c>
      <c r="Y135" s="547">
        <f t="shared" si="210"/>
        <v>498</v>
      </c>
      <c r="Z135" s="255">
        <f t="shared" si="217"/>
        <v>413.4</v>
      </c>
      <c r="AA135" s="642">
        <v>1158</v>
      </c>
      <c r="AB135" s="642">
        <v>1194</v>
      </c>
      <c r="AC135" s="255">
        <f t="shared" si="218"/>
        <v>3.1</v>
      </c>
      <c r="AD135" s="574">
        <f t="shared" si="227"/>
        <v>97</v>
      </c>
      <c r="AE135" s="574">
        <f t="shared" si="227"/>
        <v>97</v>
      </c>
      <c r="AF135" s="541">
        <f t="shared" si="228"/>
        <v>0</v>
      </c>
      <c r="AG135" s="547">
        <v>1255</v>
      </c>
      <c r="AH135" s="547">
        <v>1291</v>
      </c>
      <c r="AI135" s="255">
        <f t="shared" si="221"/>
        <v>2.9</v>
      </c>
    </row>
    <row r="136" spans="1:35">
      <c r="A136" s="92"/>
      <c r="B136" s="860"/>
      <c r="C136" s="101" t="s">
        <v>47</v>
      </c>
      <c r="D136" s="94">
        <v>4488</v>
      </c>
      <c r="E136" s="94">
        <v>4545</v>
      </c>
      <c r="F136" s="94">
        <v>2147</v>
      </c>
      <c r="G136" s="94">
        <v>1477</v>
      </c>
      <c r="H136" s="94">
        <v>2356</v>
      </c>
      <c r="I136" s="642">
        <v>298</v>
      </c>
      <c r="J136" s="642">
        <v>197</v>
      </c>
      <c r="K136" s="541">
        <f t="shared" si="205"/>
        <v>-33.9</v>
      </c>
      <c r="L136" s="386">
        <f t="shared" si="213"/>
        <v>199</v>
      </c>
      <c r="M136" s="547">
        <f t="shared" si="213"/>
        <v>339</v>
      </c>
      <c r="N136" s="541">
        <f t="shared" si="222"/>
        <v>70.400000000000006</v>
      </c>
      <c r="O136" s="547">
        <v>497</v>
      </c>
      <c r="P136" s="547">
        <v>536</v>
      </c>
      <c r="Q136" s="541">
        <f t="shared" si="223"/>
        <v>7.8</v>
      </c>
      <c r="R136" s="574">
        <f t="shared" si="224"/>
        <v>226</v>
      </c>
      <c r="S136" s="547">
        <f t="shared" si="225"/>
        <v>574</v>
      </c>
      <c r="T136" s="541">
        <f t="shared" si="226"/>
        <v>154</v>
      </c>
      <c r="U136" s="547">
        <v>723</v>
      </c>
      <c r="V136" s="547">
        <v>1110</v>
      </c>
      <c r="W136" s="541">
        <f t="shared" si="215"/>
        <v>53.5</v>
      </c>
      <c r="X136" s="574">
        <f t="shared" si="216"/>
        <v>144</v>
      </c>
      <c r="Y136" s="547">
        <f t="shared" si="210"/>
        <v>464</v>
      </c>
      <c r="Z136" s="255">
        <f t="shared" si="217"/>
        <v>222.2</v>
      </c>
      <c r="AA136" s="642">
        <v>867</v>
      </c>
      <c r="AB136" s="642">
        <v>1574</v>
      </c>
      <c r="AC136" s="255">
        <f t="shared" si="218"/>
        <v>81.5</v>
      </c>
      <c r="AD136" s="574">
        <f t="shared" si="227"/>
        <v>108</v>
      </c>
      <c r="AE136" s="574">
        <f t="shared" si="227"/>
        <v>67</v>
      </c>
      <c r="AF136" s="541">
        <f t="shared" si="228"/>
        <v>-38</v>
      </c>
      <c r="AG136" s="547">
        <v>975</v>
      </c>
      <c r="AH136" s="547">
        <v>1641</v>
      </c>
      <c r="AI136" s="255">
        <f t="shared" si="221"/>
        <v>68.3</v>
      </c>
    </row>
    <row r="137" spans="1:35" s="605" customFormat="1">
      <c r="A137" s="676"/>
      <c r="B137" s="860"/>
      <c r="C137" s="101" t="s">
        <v>536</v>
      </c>
      <c r="D137" s="94">
        <v>0</v>
      </c>
      <c r="E137" s="94">
        <v>10</v>
      </c>
      <c r="F137" s="94">
        <v>10</v>
      </c>
      <c r="G137" s="94">
        <v>10</v>
      </c>
      <c r="H137" s="94">
        <v>2012</v>
      </c>
      <c r="I137" s="642">
        <v>0</v>
      </c>
      <c r="J137" s="642">
        <v>0</v>
      </c>
      <c r="K137" s="570">
        <v>0</v>
      </c>
      <c r="L137" s="574"/>
      <c r="M137" s="547"/>
      <c r="N137" s="570">
        <v>0</v>
      </c>
      <c r="O137" s="547">
        <v>0</v>
      </c>
      <c r="P137" s="547">
        <v>0</v>
      </c>
      <c r="Q137" s="570">
        <v>0</v>
      </c>
      <c r="R137" s="574">
        <f t="shared" si="224"/>
        <v>0</v>
      </c>
      <c r="S137" s="547">
        <f t="shared" si="225"/>
        <v>0</v>
      </c>
      <c r="T137" s="570">
        <v>0</v>
      </c>
      <c r="U137" s="547">
        <v>0</v>
      </c>
      <c r="V137" s="547">
        <v>0</v>
      </c>
      <c r="W137" s="570">
        <v>0</v>
      </c>
      <c r="X137" s="574">
        <f t="shared" si="216"/>
        <v>0</v>
      </c>
      <c r="Y137" s="547">
        <f t="shared" si="210"/>
        <v>0</v>
      </c>
      <c r="Z137" s="570">
        <v>0</v>
      </c>
      <c r="AA137" s="642">
        <v>0</v>
      </c>
      <c r="AB137" s="642">
        <v>0</v>
      </c>
      <c r="AC137" s="570">
        <v>0</v>
      </c>
      <c r="AD137" s="574">
        <f t="shared" si="227"/>
        <v>0</v>
      </c>
      <c r="AE137" s="574">
        <f t="shared" si="227"/>
        <v>0</v>
      </c>
      <c r="AF137" s="570">
        <v>0</v>
      </c>
      <c r="AG137" s="547">
        <v>0</v>
      </c>
      <c r="AH137" s="547">
        <v>0</v>
      </c>
      <c r="AI137" s="570">
        <v>0</v>
      </c>
    </row>
    <row r="138" spans="1:35">
      <c r="A138" s="92"/>
      <c r="B138" s="860"/>
      <c r="C138" s="101" t="s">
        <v>46</v>
      </c>
      <c r="D138" s="94">
        <v>371</v>
      </c>
      <c r="E138" s="94">
        <v>1406</v>
      </c>
      <c r="F138" s="94">
        <v>236</v>
      </c>
      <c r="G138" s="94">
        <v>1745</v>
      </c>
      <c r="H138" s="94">
        <v>1913</v>
      </c>
      <c r="I138" s="642">
        <v>260</v>
      </c>
      <c r="J138" s="642">
        <v>0</v>
      </c>
      <c r="K138" s="541">
        <f t="shared" si="205"/>
        <v>-100</v>
      </c>
      <c r="L138" s="386">
        <f t="shared" ref="L138:M142" si="229">O138-I138</f>
        <v>190</v>
      </c>
      <c r="M138" s="547">
        <f t="shared" si="229"/>
        <v>38</v>
      </c>
      <c r="N138" s="541">
        <f t="shared" si="222"/>
        <v>-80</v>
      </c>
      <c r="O138" s="547">
        <v>450</v>
      </c>
      <c r="P138" s="547">
        <v>38</v>
      </c>
      <c r="Q138" s="541">
        <f t="shared" si="223"/>
        <v>-91.6</v>
      </c>
      <c r="R138" s="574">
        <f t="shared" si="224"/>
        <v>262</v>
      </c>
      <c r="S138" s="547">
        <f t="shared" si="225"/>
        <v>412</v>
      </c>
      <c r="T138" s="541">
        <f t="shared" si="226"/>
        <v>57.3</v>
      </c>
      <c r="U138" s="547">
        <v>712</v>
      </c>
      <c r="V138" s="547">
        <v>450</v>
      </c>
      <c r="W138" s="541">
        <f t="shared" si="215"/>
        <v>-36.799999999999997</v>
      </c>
      <c r="X138" s="574">
        <f t="shared" si="216"/>
        <v>108</v>
      </c>
      <c r="Y138" s="547">
        <f t="shared" si="210"/>
        <v>19</v>
      </c>
      <c r="Z138" s="541">
        <f t="shared" si="217"/>
        <v>-82.4</v>
      </c>
      <c r="AA138" s="642">
        <v>820</v>
      </c>
      <c r="AB138" s="642">
        <v>469</v>
      </c>
      <c r="AC138" s="541">
        <f t="shared" si="218"/>
        <v>-42.8</v>
      </c>
      <c r="AD138" s="574">
        <f t="shared" si="227"/>
        <v>144</v>
      </c>
      <c r="AE138" s="574">
        <f t="shared" si="227"/>
        <v>19</v>
      </c>
      <c r="AF138" s="541">
        <f t="shared" si="228"/>
        <v>-86.8</v>
      </c>
      <c r="AG138" s="547">
        <v>964</v>
      </c>
      <c r="AH138" s="547">
        <v>488</v>
      </c>
      <c r="AI138" s="255">
        <f t="shared" ref="AI138:AI143" si="230">ROUND(((AH138/AG138-1)*100), 1)</f>
        <v>-49.4</v>
      </c>
    </row>
    <row r="139" spans="1:35">
      <c r="A139" s="92"/>
      <c r="B139" s="860"/>
      <c r="C139" s="101" t="s">
        <v>43</v>
      </c>
      <c r="D139" s="94">
        <v>1199</v>
      </c>
      <c r="E139" s="94">
        <v>1176</v>
      </c>
      <c r="F139" s="94">
        <v>2693</v>
      </c>
      <c r="G139" s="94">
        <v>2152</v>
      </c>
      <c r="H139" s="94">
        <v>1572</v>
      </c>
      <c r="I139" s="642">
        <v>63</v>
      </c>
      <c r="J139" s="642">
        <v>62</v>
      </c>
      <c r="K139" s="541">
        <f t="shared" si="205"/>
        <v>-1.6</v>
      </c>
      <c r="L139" s="386">
        <f t="shared" si="229"/>
        <v>72</v>
      </c>
      <c r="M139" s="547">
        <f t="shared" si="229"/>
        <v>46</v>
      </c>
      <c r="N139" s="541">
        <f t="shared" si="222"/>
        <v>-36.1</v>
      </c>
      <c r="O139" s="547">
        <v>135</v>
      </c>
      <c r="P139" s="547">
        <v>108</v>
      </c>
      <c r="Q139" s="541">
        <f t="shared" si="223"/>
        <v>-20</v>
      </c>
      <c r="R139" s="574">
        <f t="shared" si="224"/>
        <v>255</v>
      </c>
      <c r="S139" s="547">
        <f t="shared" si="225"/>
        <v>100</v>
      </c>
      <c r="T139" s="541">
        <f t="shared" si="226"/>
        <v>-60.8</v>
      </c>
      <c r="U139" s="547">
        <v>390</v>
      </c>
      <c r="V139" s="547">
        <v>208</v>
      </c>
      <c r="W139" s="541">
        <f t="shared" si="215"/>
        <v>-46.7</v>
      </c>
      <c r="X139" s="574">
        <f t="shared" si="216"/>
        <v>24</v>
      </c>
      <c r="Y139" s="547">
        <f t="shared" si="210"/>
        <v>61</v>
      </c>
      <c r="Z139" s="541">
        <f t="shared" si="217"/>
        <v>154.19999999999999</v>
      </c>
      <c r="AA139" s="642">
        <v>414</v>
      </c>
      <c r="AB139" s="642">
        <v>269</v>
      </c>
      <c r="AC139" s="541">
        <f t="shared" si="218"/>
        <v>-35</v>
      </c>
      <c r="AD139" s="574">
        <f t="shared" si="227"/>
        <v>417</v>
      </c>
      <c r="AE139" s="574">
        <f t="shared" si="227"/>
        <v>36</v>
      </c>
      <c r="AF139" s="541">
        <f t="shared" si="228"/>
        <v>-91.4</v>
      </c>
      <c r="AG139" s="547">
        <v>831</v>
      </c>
      <c r="AH139" s="547">
        <v>305</v>
      </c>
      <c r="AI139" s="255">
        <f t="shared" si="230"/>
        <v>-63.3</v>
      </c>
    </row>
    <row r="140" spans="1:35">
      <c r="A140" s="92"/>
      <c r="B140" s="860"/>
      <c r="C140" s="101" t="s">
        <v>445</v>
      </c>
      <c r="D140" s="94">
        <v>0</v>
      </c>
      <c r="E140" s="94">
        <v>92</v>
      </c>
      <c r="F140" s="94">
        <v>346</v>
      </c>
      <c r="G140" s="94">
        <v>762</v>
      </c>
      <c r="H140" s="94">
        <v>1536</v>
      </c>
      <c r="I140" s="642">
        <v>199</v>
      </c>
      <c r="J140" s="642">
        <v>33</v>
      </c>
      <c r="K140" s="541">
        <f t="shared" si="205"/>
        <v>-83.4</v>
      </c>
      <c r="L140" s="386">
        <f t="shared" si="229"/>
        <v>187</v>
      </c>
      <c r="M140" s="547">
        <f t="shared" si="229"/>
        <v>68</v>
      </c>
      <c r="N140" s="541">
        <f t="shared" si="222"/>
        <v>-63.6</v>
      </c>
      <c r="O140" s="547">
        <v>386</v>
      </c>
      <c r="P140" s="547">
        <v>101</v>
      </c>
      <c r="Q140" s="541">
        <f t="shared" si="223"/>
        <v>-73.8</v>
      </c>
      <c r="R140" s="574">
        <f t="shared" si="224"/>
        <v>121</v>
      </c>
      <c r="S140" s="547">
        <f t="shared" si="225"/>
        <v>71</v>
      </c>
      <c r="T140" s="541">
        <f t="shared" si="226"/>
        <v>-41.3</v>
      </c>
      <c r="U140" s="547">
        <v>507</v>
      </c>
      <c r="V140" s="547">
        <v>172</v>
      </c>
      <c r="W140" s="541">
        <f t="shared" si="215"/>
        <v>-66.099999999999994</v>
      </c>
      <c r="X140" s="574">
        <f t="shared" si="216"/>
        <v>170</v>
      </c>
      <c r="Y140" s="547">
        <f t="shared" si="210"/>
        <v>81</v>
      </c>
      <c r="Z140" s="541">
        <f t="shared" si="217"/>
        <v>-52.4</v>
      </c>
      <c r="AA140" s="642">
        <v>677</v>
      </c>
      <c r="AB140" s="642">
        <v>253</v>
      </c>
      <c r="AC140" s="541">
        <f t="shared" si="218"/>
        <v>-62.6</v>
      </c>
      <c r="AD140" s="574">
        <f t="shared" si="227"/>
        <v>217</v>
      </c>
      <c r="AE140" s="574">
        <f t="shared" si="227"/>
        <v>69</v>
      </c>
      <c r="AF140" s="541">
        <f t="shared" si="228"/>
        <v>-68.2</v>
      </c>
      <c r="AG140" s="547">
        <v>894</v>
      </c>
      <c r="AH140" s="547">
        <v>322</v>
      </c>
      <c r="AI140" s="255">
        <f t="shared" si="230"/>
        <v>-64</v>
      </c>
    </row>
    <row r="141" spans="1:35">
      <c r="A141" s="92"/>
      <c r="B141" s="860"/>
      <c r="C141" s="101" t="s">
        <v>137</v>
      </c>
      <c r="D141" s="94">
        <v>14530</v>
      </c>
      <c r="E141" s="94">
        <v>10613</v>
      </c>
      <c r="F141" s="94">
        <v>2103</v>
      </c>
      <c r="G141" s="94">
        <v>1065</v>
      </c>
      <c r="H141" s="94">
        <v>939</v>
      </c>
      <c r="I141" s="642">
        <v>0</v>
      </c>
      <c r="J141" s="642">
        <v>264</v>
      </c>
      <c r="K141" s="570">
        <v>0</v>
      </c>
      <c r="L141" s="386">
        <f t="shared" si="229"/>
        <v>24</v>
      </c>
      <c r="M141" s="547">
        <f t="shared" si="229"/>
        <v>560</v>
      </c>
      <c r="N141" s="541">
        <f t="shared" si="222"/>
        <v>2233.3000000000002</v>
      </c>
      <c r="O141" s="547">
        <v>24</v>
      </c>
      <c r="P141" s="547">
        <v>824</v>
      </c>
      <c r="Q141" s="541">
        <f t="shared" si="223"/>
        <v>3333.3</v>
      </c>
      <c r="R141" s="574">
        <f t="shared" si="224"/>
        <v>0</v>
      </c>
      <c r="S141" s="547">
        <f t="shared" si="225"/>
        <v>575</v>
      </c>
      <c r="T141" s="570">
        <v>0</v>
      </c>
      <c r="U141" s="547">
        <v>24</v>
      </c>
      <c r="V141" s="547">
        <v>1399</v>
      </c>
      <c r="W141" s="541">
        <f t="shared" si="215"/>
        <v>5729.2</v>
      </c>
      <c r="X141" s="574">
        <f t="shared" si="216"/>
        <v>161</v>
      </c>
      <c r="Y141" s="547">
        <f t="shared" si="210"/>
        <v>253</v>
      </c>
      <c r="Z141" s="541">
        <f t="shared" si="217"/>
        <v>57.1</v>
      </c>
      <c r="AA141" s="642">
        <v>185</v>
      </c>
      <c r="AB141" s="642">
        <v>1652</v>
      </c>
      <c r="AC141" s="541">
        <f t="shared" si="218"/>
        <v>793</v>
      </c>
      <c r="AD141" s="574">
        <f t="shared" si="227"/>
        <v>164</v>
      </c>
      <c r="AE141" s="574">
        <f t="shared" si="227"/>
        <v>303</v>
      </c>
      <c r="AF141" s="541">
        <f t="shared" si="228"/>
        <v>84.8</v>
      </c>
      <c r="AG141" s="547">
        <v>349</v>
      </c>
      <c r="AH141" s="547">
        <v>1955</v>
      </c>
      <c r="AI141" s="255">
        <f t="shared" si="230"/>
        <v>460.2</v>
      </c>
    </row>
    <row r="142" spans="1:35">
      <c r="A142" s="92"/>
      <c r="B142" s="860"/>
      <c r="C142" s="101" t="s">
        <v>129</v>
      </c>
      <c r="D142" s="94">
        <v>726</v>
      </c>
      <c r="E142" s="94">
        <v>44</v>
      </c>
      <c r="F142" s="94">
        <v>145</v>
      </c>
      <c r="G142" s="94">
        <v>1031</v>
      </c>
      <c r="H142" s="94">
        <v>373</v>
      </c>
      <c r="I142" s="642">
        <v>36</v>
      </c>
      <c r="J142" s="642">
        <v>0</v>
      </c>
      <c r="K142" s="541">
        <f t="shared" si="205"/>
        <v>-100</v>
      </c>
      <c r="L142" s="386">
        <f t="shared" si="229"/>
        <v>257</v>
      </c>
      <c r="M142" s="547">
        <f t="shared" si="229"/>
        <v>0</v>
      </c>
      <c r="N142" s="541">
        <f t="shared" si="222"/>
        <v>-100</v>
      </c>
      <c r="O142" s="547">
        <v>293</v>
      </c>
      <c r="P142" s="547">
        <v>0</v>
      </c>
      <c r="Q142" s="541">
        <f t="shared" si="223"/>
        <v>-100</v>
      </c>
      <c r="R142" s="574">
        <f t="shared" si="224"/>
        <v>0</v>
      </c>
      <c r="S142" s="547">
        <f t="shared" si="225"/>
        <v>0</v>
      </c>
      <c r="T142" s="570">
        <v>0</v>
      </c>
      <c r="U142" s="547">
        <v>293</v>
      </c>
      <c r="V142" s="547">
        <v>0</v>
      </c>
      <c r="W142" s="541">
        <f t="shared" si="215"/>
        <v>-100</v>
      </c>
      <c r="X142" s="574">
        <f t="shared" si="216"/>
        <v>80</v>
      </c>
      <c r="Y142" s="547">
        <f t="shared" si="210"/>
        <v>100</v>
      </c>
      <c r="Z142" s="541">
        <f t="shared" si="217"/>
        <v>25</v>
      </c>
      <c r="AA142" s="642">
        <v>373</v>
      </c>
      <c r="AB142" s="642">
        <v>100</v>
      </c>
      <c r="AC142" s="541">
        <f t="shared" si="218"/>
        <v>-73.2</v>
      </c>
      <c r="AD142" s="574">
        <f t="shared" si="227"/>
        <v>0</v>
      </c>
      <c r="AE142" s="574">
        <f t="shared" si="227"/>
        <v>0</v>
      </c>
      <c r="AF142" s="570">
        <v>0</v>
      </c>
      <c r="AG142" s="547">
        <v>373</v>
      </c>
      <c r="AH142" s="547">
        <v>100</v>
      </c>
      <c r="AI142" s="255">
        <f t="shared" si="230"/>
        <v>-73.2</v>
      </c>
    </row>
    <row r="143" spans="1:35">
      <c r="A143" s="92"/>
      <c r="B143" s="860"/>
      <c r="C143" s="101" t="s">
        <v>207</v>
      </c>
      <c r="D143" s="94">
        <v>1154</v>
      </c>
      <c r="E143" s="94">
        <v>3692</v>
      </c>
      <c r="F143" s="94">
        <v>1856</v>
      </c>
      <c r="G143" s="94">
        <v>675</v>
      </c>
      <c r="H143" s="94">
        <v>244</v>
      </c>
      <c r="I143" s="642">
        <v>28</v>
      </c>
      <c r="J143" s="642">
        <v>0</v>
      </c>
      <c r="K143" s="541">
        <f t="shared" si="205"/>
        <v>-100</v>
      </c>
      <c r="L143" s="574">
        <f t="shared" ref="L143:L150" si="231">O143-I143</f>
        <v>0</v>
      </c>
      <c r="M143" s="547">
        <f t="shared" ref="M143:M150" si="232">P143-J143</f>
        <v>0</v>
      </c>
      <c r="N143" s="570">
        <v>0</v>
      </c>
      <c r="O143" s="547">
        <v>28</v>
      </c>
      <c r="P143" s="547">
        <v>0</v>
      </c>
      <c r="Q143" s="541">
        <f t="shared" si="223"/>
        <v>-100</v>
      </c>
      <c r="R143" s="574">
        <f t="shared" si="224"/>
        <v>0</v>
      </c>
      <c r="S143" s="547">
        <f t="shared" si="225"/>
        <v>0</v>
      </c>
      <c r="T143" s="570">
        <v>0</v>
      </c>
      <c r="U143" s="547">
        <v>28</v>
      </c>
      <c r="V143" s="547">
        <v>0</v>
      </c>
      <c r="W143" s="541">
        <f t="shared" si="215"/>
        <v>-100</v>
      </c>
      <c r="X143" s="574">
        <f t="shared" si="216"/>
        <v>0</v>
      </c>
      <c r="Y143" s="547">
        <f t="shared" si="210"/>
        <v>0</v>
      </c>
      <c r="Z143" s="570">
        <v>0</v>
      </c>
      <c r="AA143" s="642">
        <v>28</v>
      </c>
      <c r="AB143" s="642">
        <v>0</v>
      </c>
      <c r="AC143" s="541">
        <f t="shared" si="218"/>
        <v>-100</v>
      </c>
      <c r="AD143" s="574">
        <f t="shared" si="227"/>
        <v>0</v>
      </c>
      <c r="AE143" s="574">
        <f t="shared" si="227"/>
        <v>0</v>
      </c>
      <c r="AF143" s="570">
        <v>0</v>
      </c>
      <c r="AG143" s="547">
        <v>28</v>
      </c>
      <c r="AH143" s="547">
        <v>0</v>
      </c>
      <c r="AI143" s="255">
        <f t="shared" si="230"/>
        <v>-100</v>
      </c>
    </row>
    <row r="144" spans="1:35">
      <c r="A144" s="92"/>
      <c r="B144" s="860"/>
      <c r="C144" s="101" t="s">
        <v>49</v>
      </c>
      <c r="D144" s="94">
        <v>13760</v>
      </c>
      <c r="E144" s="94">
        <v>16184</v>
      </c>
      <c r="F144" s="94">
        <v>16920</v>
      </c>
      <c r="G144" s="94">
        <v>12375</v>
      </c>
      <c r="H144" s="94">
        <v>243</v>
      </c>
      <c r="I144" s="642">
        <v>0</v>
      </c>
      <c r="J144" s="642">
        <v>0</v>
      </c>
      <c r="K144" s="570">
        <v>0</v>
      </c>
      <c r="L144" s="574">
        <f t="shared" si="231"/>
        <v>0</v>
      </c>
      <c r="M144" s="547">
        <f t="shared" si="232"/>
        <v>0</v>
      </c>
      <c r="N144" s="570">
        <v>0</v>
      </c>
      <c r="O144" s="547">
        <v>0</v>
      </c>
      <c r="P144" s="547">
        <v>0</v>
      </c>
      <c r="Q144" s="570">
        <v>0</v>
      </c>
      <c r="R144" s="574">
        <f t="shared" si="224"/>
        <v>0</v>
      </c>
      <c r="S144" s="547">
        <f t="shared" si="225"/>
        <v>24</v>
      </c>
      <c r="T144" s="570">
        <v>0</v>
      </c>
      <c r="U144" s="547">
        <v>0</v>
      </c>
      <c r="V144" s="547">
        <v>24</v>
      </c>
      <c r="W144" s="570">
        <v>0</v>
      </c>
      <c r="X144" s="574">
        <f t="shared" si="216"/>
        <v>0</v>
      </c>
      <c r="Y144" s="547">
        <f t="shared" si="210"/>
        <v>0</v>
      </c>
      <c r="Z144" s="570">
        <v>0</v>
      </c>
      <c r="AA144" s="642">
        <v>0</v>
      </c>
      <c r="AB144" s="642">
        <v>24</v>
      </c>
      <c r="AC144" s="570">
        <v>0</v>
      </c>
      <c r="AD144" s="574">
        <f t="shared" si="227"/>
        <v>0</v>
      </c>
      <c r="AE144" s="574">
        <f t="shared" si="227"/>
        <v>0</v>
      </c>
      <c r="AF144" s="570">
        <v>0</v>
      </c>
      <c r="AG144" s="547">
        <v>0</v>
      </c>
      <c r="AH144" s="547">
        <v>24</v>
      </c>
      <c r="AI144" s="570">
        <v>0</v>
      </c>
    </row>
    <row r="145" spans="1:35" s="605" customFormat="1">
      <c r="A145" s="676"/>
      <c r="B145" s="860"/>
      <c r="C145" s="101" t="s">
        <v>525</v>
      </c>
      <c r="D145" s="94">
        <v>20</v>
      </c>
      <c r="E145" s="94">
        <v>1</v>
      </c>
      <c r="F145" s="94">
        <v>0</v>
      </c>
      <c r="G145" s="94">
        <v>206</v>
      </c>
      <c r="H145" s="94">
        <v>163</v>
      </c>
      <c r="I145" s="642">
        <v>0</v>
      </c>
      <c r="J145" s="642">
        <v>0</v>
      </c>
      <c r="K145" s="570">
        <v>0</v>
      </c>
      <c r="L145" s="574">
        <f t="shared" si="231"/>
        <v>0</v>
      </c>
      <c r="M145" s="547">
        <f t="shared" si="232"/>
        <v>0</v>
      </c>
      <c r="N145" s="570">
        <v>0</v>
      </c>
      <c r="O145" s="547">
        <v>0</v>
      </c>
      <c r="P145" s="547">
        <v>0</v>
      </c>
      <c r="Q145" s="570">
        <v>0</v>
      </c>
      <c r="R145" s="574">
        <f t="shared" si="224"/>
        <v>0</v>
      </c>
      <c r="S145" s="547">
        <f t="shared" si="225"/>
        <v>0</v>
      </c>
      <c r="T145" s="570">
        <v>0</v>
      </c>
      <c r="U145" s="547">
        <v>0</v>
      </c>
      <c r="V145" s="547">
        <v>0</v>
      </c>
      <c r="W145" s="570">
        <v>0</v>
      </c>
      <c r="X145" s="574">
        <f t="shared" ref="X145:X149" si="233">AA145-U145</f>
        <v>48</v>
      </c>
      <c r="Y145" s="547">
        <f t="shared" si="210"/>
        <v>20</v>
      </c>
      <c r="Z145" s="541">
        <f t="shared" si="217"/>
        <v>-58.3</v>
      </c>
      <c r="AA145" s="642">
        <v>48</v>
      </c>
      <c r="AB145" s="642">
        <v>20</v>
      </c>
      <c r="AC145" s="541">
        <f t="shared" si="218"/>
        <v>-58.3</v>
      </c>
      <c r="AD145" s="574">
        <f t="shared" si="227"/>
        <v>0</v>
      </c>
      <c r="AE145" s="574">
        <f t="shared" si="227"/>
        <v>0</v>
      </c>
      <c r="AF145" s="570">
        <v>0</v>
      </c>
      <c r="AG145" s="547">
        <v>48</v>
      </c>
      <c r="AH145" s="547">
        <v>20</v>
      </c>
      <c r="AI145" s="541">
        <f>ROUND(((AH145/AG145-1)*100), 1)</f>
        <v>-58.3</v>
      </c>
    </row>
    <row r="146" spans="1:35">
      <c r="A146" s="92"/>
      <c r="B146" s="860"/>
      <c r="C146" s="101" t="s">
        <v>65</v>
      </c>
      <c r="D146" s="94">
        <v>1363</v>
      </c>
      <c r="E146" s="94">
        <v>354</v>
      </c>
      <c r="F146" s="94">
        <v>5825</v>
      </c>
      <c r="G146" s="94">
        <v>16198</v>
      </c>
      <c r="H146" s="94">
        <v>136</v>
      </c>
      <c r="I146" s="642">
        <v>0</v>
      </c>
      <c r="J146" s="642">
        <v>0</v>
      </c>
      <c r="K146" s="570">
        <v>0</v>
      </c>
      <c r="L146" s="574">
        <f t="shared" si="231"/>
        <v>0</v>
      </c>
      <c r="M146" s="547">
        <f t="shared" si="232"/>
        <v>0</v>
      </c>
      <c r="N146" s="570">
        <v>0</v>
      </c>
      <c r="O146" s="547">
        <v>0</v>
      </c>
      <c r="P146" s="547">
        <v>0</v>
      </c>
      <c r="Q146" s="570">
        <v>0</v>
      </c>
      <c r="R146" s="574">
        <f t="shared" si="224"/>
        <v>0</v>
      </c>
      <c r="S146" s="547">
        <f t="shared" si="225"/>
        <v>0</v>
      </c>
      <c r="T146" s="570">
        <v>0</v>
      </c>
      <c r="U146" s="547">
        <v>0</v>
      </c>
      <c r="V146" s="547">
        <v>0</v>
      </c>
      <c r="W146" s="570">
        <v>0</v>
      </c>
      <c r="X146" s="574">
        <f t="shared" si="233"/>
        <v>0</v>
      </c>
      <c r="Y146" s="547">
        <f t="shared" ref="Y146:Y151" si="234">AB146-V146</f>
        <v>0</v>
      </c>
      <c r="Z146" s="570">
        <v>0</v>
      </c>
      <c r="AA146" s="642">
        <v>0</v>
      </c>
      <c r="AB146" s="642">
        <v>0</v>
      </c>
      <c r="AC146" s="570">
        <v>0</v>
      </c>
      <c r="AD146" s="574">
        <f t="shared" si="227"/>
        <v>136</v>
      </c>
      <c r="AE146" s="574">
        <f t="shared" si="227"/>
        <v>0</v>
      </c>
      <c r="AF146" s="541">
        <f t="shared" si="228"/>
        <v>-100</v>
      </c>
      <c r="AG146" s="547">
        <v>136</v>
      </c>
      <c r="AH146" s="547">
        <v>0</v>
      </c>
      <c r="AI146" s="255">
        <f>ROUND(((AH146/AG146-1)*100), 1)</f>
        <v>-100</v>
      </c>
    </row>
    <row r="147" spans="1:35" s="277" customFormat="1">
      <c r="A147" s="397"/>
      <c r="B147" s="860"/>
      <c r="C147" s="101" t="s">
        <v>116</v>
      </c>
      <c r="D147" s="94">
        <v>4541</v>
      </c>
      <c r="E147" s="94">
        <v>1516</v>
      </c>
      <c r="F147" s="94">
        <v>578</v>
      </c>
      <c r="G147" s="94">
        <v>7606</v>
      </c>
      <c r="H147" s="94">
        <v>102</v>
      </c>
      <c r="I147" s="642">
        <v>0</v>
      </c>
      <c r="J147" s="642">
        <v>100</v>
      </c>
      <c r="K147" s="570">
        <v>0</v>
      </c>
      <c r="L147" s="574">
        <f t="shared" si="231"/>
        <v>0</v>
      </c>
      <c r="M147" s="547">
        <f t="shared" si="232"/>
        <v>120</v>
      </c>
      <c r="N147" s="570">
        <v>0</v>
      </c>
      <c r="O147" s="547">
        <v>0</v>
      </c>
      <c r="P147" s="547">
        <v>220</v>
      </c>
      <c r="Q147" s="570">
        <v>0</v>
      </c>
      <c r="R147" s="574">
        <f t="shared" si="224"/>
        <v>102</v>
      </c>
      <c r="S147" s="547">
        <f t="shared" si="225"/>
        <v>88</v>
      </c>
      <c r="T147" s="541">
        <f t="shared" si="226"/>
        <v>-13.7</v>
      </c>
      <c r="U147" s="547">
        <v>102</v>
      </c>
      <c r="V147" s="547">
        <v>308</v>
      </c>
      <c r="W147" s="541">
        <f t="shared" si="215"/>
        <v>202</v>
      </c>
      <c r="X147" s="574">
        <f t="shared" si="233"/>
        <v>0</v>
      </c>
      <c r="Y147" s="547">
        <f t="shared" si="234"/>
        <v>49</v>
      </c>
      <c r="Z147" s="570">
        <v>0</v>
      </c>
      <c r="AA147" s="642">
        <v>102</v>
      </c>
      <c r="AB147" s="642">
        <v>357</v>
      </c>
      <c r="AC147" s="541">
        <f t="shared" si="218"/>
        <v>250</v>
      </c>
      <c r="AD147" s="574">
        <f t="shared" si="227"/>
        <v>0</v>
      </c>
      <c r="AE147" s="574">
        <f t="shared" si="227"/>
        <v>51</v>
      </c>
      <c r="AF147" s="570">
        <v>0</v>
      </c>
      <c r="AG147" s="547">
        <v>102</v>
      </c>
      <c r="AH147" s="547">
        <v>408</v>
      </c>
      <c r="AI147" s="255">
        <f>ROUND(((AH147/AG147-1)*100), 1)</f>
        <v>300</v>
      </c>
    </row>
    <row r="148" spans="1:35" s="605" customFormat="1">
      <c r="A148" s="707"/>
      <c r="B148" s="860"/>
      <c r="C148" s="101" t="s">
        <v>588</v>
      </c>
      <c r="D148" s="94">
        <v>65</v>
      </c>
      <c r="E148" s="94">
        <v>102</v>
      </c>
      <c r="F148" s="94">
        <v>0</v>
      </c>
      <c r="G148" s="94">
        <v>0</v>
      </c>
      <c r="H148" s="94">
        <v>19</v>
      </c>
      <c r="I148" s="642">
        <v>0</v>
      </c>
      <c r="J148" s="642">
        <v>20</v>
      </c>
      <c r="K148" s="570">
        <v>0</v>
      </c>
      <c r="L148" s="574">
        <f t="shared" ref="L148" si="235">O148-I148</f>
        <v>0</v>
      </c>
      <c r="M148" s="547">
        <f t="shared" ref="M148" si="236">P148-J148</f>
        <v>92</v>
      </c>
      <c r="N148" s="570">
        <v>0</v>
      </c>
      <c r="O148" s="547">
        <v>0</v>
      </c>
      <c r="P148" s="547">
        <v>112</v>
      </c>
      <c r="Q148" s="570">
        <v>0</v>
      </c>
      <c r="R148" s="574">
        <f t="shared" ref="R148" si="237">U148-O148</f>
        <v>0</v>
      </c>
      <c r="S148" s="547">
        <f t="shared" ref="S148" si="238">V148-P148</f>
        <v>313</v>
      </c>
      <c r="T148" s="570">
        <v>0</v>
      </c>
      <c r="U148" s="547">
        <v>0</v>
      </c>
      <c r="V148" s="547">
        <v>425</v>
      </c>
      <c r="W148" s="570">
        <v>0</v>
      </c>
      <c r="X148" s="574">
        <f t="shared" si="233"/>
        <v>0</v>
      </c>
      <c r="Y148" s="547">
        <f t="shared" si="234"/>
        <v>101</v>
      </c>
      <c r="Z148" s="570">
        <v>0</v>
      </c>
      <c r="AA148" s="642">
        <v>0</v>
      </c>
      <c r="AB148" s="642">
        <v>526</v>
      </c>
      <c r="AC148" s="570">
        <v>0</v>
      </c>
      <c r="AD148" s="574">
        <f t="shared" si="227"/>
        <v>0</v>
      </c>
      <c r="AE148" s="574">
        <f t="shared" si="227"/>
        <v>142</v>
      </c>
      <c r="AF148" s="570">
        <v>0</v>
      </c>
      <c r="AG148" s="547">
        <v>0</v>
      </c>
      <c r="AH148" s="547">
        <v>668</v>
      </c>
      <c r="AI148" s="570">
        <v>0</v>
      </c>
    </row>
    <row r="149" spans="1:35">
      <c r="A149" s="92"/>
      <c r="B149" s="860"/>
      <c r="C149" s="101" t="s">
        <v>68</v>
      </c>
      <c r="D149" s="94">
        <v>89</v>
      </c>
      <c r="E149" s="94">
        <v>0</v>
      </c>
      <c r="F149" s="94">
        <v>94</v>
      </c>
      <c r="G149" s="94">
        <v>891</v>
      </c>
      <c r="H149" s="94">
        <v>0</v>
      </c>
      <c r="I149" s="642">
        <v>0</v>
      </c>
      <c r="J149" s="642">
        <v>0</v>
      </c>
      <c r="K149" s="570">
        <v>0</v>
      </c>
      <c r="L149" s="574">
        <f t="shared" si="231"/>
        <v>0</v>
      </c>
      <c r="M149" s="547">
        <f t="shared" si="232"/>
        <v>0</v>
      </c>
      <c r="N149" s="570">
        <v>0</v>
      </c>
      <c r="O149" s="547">
        <v>0</v>
      </c>
      <c r="P149" s="547">
        <v>0</v>
      </c>
      <c r="Q149" s="570">
        <v>0</v>
      </c>
      <c r="R149" s="574">
        <f t="shared" si="224"/>
        <v>0</v>
      </c>
      <c r="S149" s="547">
        <f t="shared" si="225"/>
        <v>0</v>
      </c>
      <c r="T149" s="570">
        <v>0</v>
      </c>
      <c r="U149" s="547">
        <v>0</v>
      </c>
      <c r="V149" s="547">
        <v>0</v>
      </c>
      <c r="W149" s="570">
        <v>0</v>
      </c>
      <c r="X149" s="574">
        <f t="shared" si="233"/>
        <v>0</v>
      </c>
      <c r="Y149" s="547">
        <f t="shared" si="234"/>
        <v>51</v>
      </c>
      <c r="Z149" s="570">
        <v>0</v>
      </c>
      <c r="AA149" s="642">
        <v>0</v>
      </c>
      <c r="AB149" s="642">
        <v>51</v>
      </c>
      <c r="AC149" s="570">
        <v>0</v>
      </c>
      <c r="AD149" s="574">
        <f t="shared" si="227"/>
        <v>0</v>
      </c>
      <c r="AE149" s="574">
        <f t="shared" si="227"/>
        <v>0</v>
      </c>
      <c r="AF149" s="570">
        <v>0</v>
      </c>
      <c r="AG149" s="547">
        <v>0</v>
      </c>
      <c r="AH149" s="547">
        <v>51</v>
      </c>
      <c r="AI149" s="570">
        <v>0</v>
      </c>
    </row>
    <row r="150" spans="1:35">
      <c r="A150" s="92"/>
      <c r="B150" s="860"/>
      <c r="C150" s="101" t="s">
        <v>141</v>
      </c>
      <c r="D150" s="94">
        <v>796</v>
      </c>
      <c r="E150" s="94">
        <v>2420</v>
      </c>
      <c r="F150" s="94">
        <v>1132</v>
      </c>
      <c r="G150" s="94">
        <v>740</v>
      </c>
      <c r="H150" s="94">
        <v>0</v>
      </c>
      <c r="I150" s="642">
        <v>0</v>
      </c>
      <c r="J150" s="642">
        <v>0</v>
      </c>
      <c r="K150" s="570">
        <v>0</v>
      </c>
      <c r="L150" s="574">
        <f t="shared" si="231"/>
        <v>0</v>
      </c>
      <c r="M150" s="547">
        <f t="shared" si="232"/>
        <v>0</v>
      </c>
      <c r="N150" s="570">
        <v>0</v>
      </c>
      <c r="O150" s="547">
        <v>0</v>
      </c>
      <c r="P150" s="547">
        <v>0</v>
      </c>
      <c r="Q150" s="570">
        <v>0</v>
      </c>
      <c r="R150" s="574">
        <f t="shared" si="224"/>
        <v>0</v>
      </c>
      <c r="S150" s="547">
        <f t="shared" si="225"/>
        <v>50</v>
      </c>
      <c r="T150" s="570">
        <v>0</v>
      </c>
      <c r="U150" s="547">
        <v>0</v>
      </c>
      <c r="V150" s="547">
        <v>50</v>
      </c>
      <c r="W150" s="570">
        <v>0</v>
      </c>
      <c r="X150" s="386">
        <f>AA150-U150</f>
        <v>0</v>
      </c>
      <c r="Y150" s="547">
        <f t="shared" si="234"/>
        <v>0</v>
      </c>
      <c r="Z150" s="570">
        <v>0</v>
      </c>
      <c r="AA150" s="642">
        <v>0</v>
      </c>
      <c r="AB150" s="642">
        <v>50</v>
      </c>
      <c r="AC150" s="570">
        <v>0</v>
      </c>
      <c r="AD150" s="386">
        <f>AG150-AA150</f>
        <v>0</v>
      </c>
      <c r="AE150" s="574">
        <f>AH150-AB150</f>
        <v>0</v>
      </c>
      <c r="AF150" s="570">
        <v>0</v>
      </c>
      <c r="AG150" s="547">
        <v>0</v>
      </c>
      <c r="AH150" s="547">
        <v>50</v>
      </c>
      <c r="AI150" s="570">
        <v>0</v>
      </c>
    </row>
    <row r="151" spans="1:35">
      <c r="A151" s="92"/>
      <c r="B151" s="860"/>
      <c r="C151" s="101" t="s">
        <v>210</v>
      </c>
      <c r="D151" s="94">
        <v>9930</v>
      </c>
      <c r="E151" s="94">
        <v>1448</v>
      </c>
      <c r="F151" s="94">
        <v>2828</v>
      </c>
      <c r="G151" s="94">
        <v>110</v>
      </c>
      <c r="H151" s="94">
        <v>0</v>
      </c>
      <c r="I151" s="642">
        <v>0</v>
      </c>
      <c r="J151" s="642">
        <v>0</v>
      </c>
      <c r="K151" s="173">
        <v>0</v>
      </c>
      <c r="L151" s="386">
        <f>O151-I151</f>
        <v>0</v>
      </c>
      <c r="M151" s="547">
        <f>P151-J151</f>
        <v>0</v>
      </c>
      <c r="N151" s="570">
        <v>0</v>
      </c>
      <c r="O151" s="547">
        <v>0</v>
      </c>
      <c r="P151" s="547">
        <v>0</v>
      </c>
      <c r="Q151" s="570">
        <v>0</v>
      </c>
      <c r="R151" s="574">
        <f t="shared" si="224"/>
        <v>0</v>
      </c>
      <c r="S151" s="547">
        <f t="shared" si="225"/>
        <v>164</v>
      </c>
      <c r="T151" s="570">
        <v>0</v>
      </c>
      <c r="U151" s="547">
        <v>0</v>
      </c>
      <c r="V151" s="547">
        <v>164</v>
      </c>
      <c r="W151" s="570">
        <v>0</v>
      </c>
      <c r="X151" s="386">
        <f>AA151-U151</f>
        <v>0</v>
      </c>
      <c r="Y151" s="547">
        <f t="shared" si="234"/>
        <v>274</v>
      </c>
      <c r="Z151" s="464">
        <v>0</v>
      </c>
      <c r="AA151" s="642">
        <v>0</v>
      </c>
      <c r="AB151" s="642">
        <v>438</v>
      </c>
      <c r="AC151" s="570">
        <v>0</v>
      </c>
      <c r="AD151" s="386">
        <f>AG151-AA151</f>
        <v>0</v>
      </c>
      <c r="AE151" s="574">
        <f>AH151-AB151</f>
        <v>27</v>
      </c>
      <c r="AF151" s="570">
        <v>0</v>
      </c>
      <c r="AG151" s="547">
        <v>0</v>
      </c>
      <c r="AH151" s="547">
        <v>465</v>
      </c>
      <c r="AI151" s="570">
        <v>0</v>
      </c>
    </row>
    <row r="152" spans="1:35">
      <c r="A152" s="92"/>
      <c r="B152" s="860"/>
      <c r="C152" s="101" t="s">
        <v>18</v>
      </c>
      <c r="D152" s="94">
        <f t="shared" ref="D152:J152" si="239">D153-SUM(D131:D151)</f>
        <v>11995</v>
      </c>
      <c r="E152" s="94">
        <f t="shared" si="239"/>
        <v>3539</v>
      </c>
      <c r="F152" s="94">
        <f t="shared" si="239"/>
        <v>850</v>
      </c>
      <c r="G152" s="94">
        <f t="shared" si="239"/>
        <v>717</v>
      </c>
      <c r="H152" s="94">
        <f t="shared" si="239"/>
        <v>507</v>
      </c>
      <c r="I152" s="642">
        <f t="shared" si="239"/>
        <v>9</v>
      </c>
      <c r="J152" s="642">
        <f t="shared" si="239"/>
        <v>44</v>
      </c>
      <c r="K152" s="255">
        <f>ROUND(((J152/I152-1)*100), 1)</f>
        <v>388.9</v>
      </c>
      <c r="L152" s="386">
        <f>L153-SUM(L131:L151)</f>
        <v>2</v>
      </c>
      <c r="M152" s="547">
        <f>M153-SUM(M131:M151)</f>
        <v>168</v>
      </c>
      <c r="N152" s="255">
        <f>ROUND(((M152/L152-1)*100), 1)</f>
        <v>8300</v>
      </c>
      <c r="O152" s="547">
        <f>O153-SUM(O131:O151)</f>
        <v>11</v>
      </c>
      <c r="P152" s="547">
        <f>P153-SUM(P131:P151)</f>
        <v>212</v>
      </c>
      <c r="Q152" s="255">
        <f>ROUND(((P152/O152-1)*100), 1)</f>
        <v>1827.3</v>
      </c>
      <c r="R152" s="574">
        <f>R153-SUM(R131:R151)</f>
        <v>4</v>
      </c>
      <c r="S152" s="547">
        <f>S153-SUM(S131:S151)</f>
        <v>465</v>
      </c>
      <c r="T152" s="255">
        <f>ROUND(((S152/R152-1)*100), 1)</f>
        <v>11525</v>
      </c>
      <c r="U152" s="547">
        <f>U153-SUM(U131:U151)</f>
        <v>15</v>
      </c>
      <c r="V152" s="547">
        <f>V153-SUM(V131:V151)</f>
        <v>677</v>
      </c>
      <c r="W152" s="255">
        <f>ROUND(((V152/U152-1)*100), 1)</f>
        <v>4413.3</v>
      </c>
      <c r="X152" s="386">
        <f>X153-SUM(X131:X151)</f>
        <v>105</v>
      </c>
      <c r="Y152" s="547">
        <f>Y153-SUM(Y131:Y151)</f>
        <v>185</v>
      </c>
      <c r="Z152" s="255">
        <f>ROUND(((Y152/X152-1)*100), 1)</f>
        <v>76.2</v>
      </c>
      <c r="AA152" s="642">
        <f>AA153-SUM(AA131:AA151)</f>
        <v>120</v>
      </c>
      <c r="AB152" s="642">
        <f>AB153-SUM(AB131:AB151)</f>
        <v>862</v>
      </c>
      <c r="AC152" s="255">
        <f>ROUND(((AB152/AA152-1)*100), 1)</f>
        <v>618.29999999999995</v>
      </c>
      <c r="AD152" s="386">
        <f>AD153-SUM(AD131:AD151)</f>
        <v>0</v>
      </c>
      <c r="AE152" s="574">
        <f>AE153-SUM(AE131:AE151)</f>
        <v>0</v>
      </c>
      <c r="AF152" s="543">
        <v>0</v>
      </c>
      <c r="AG152" s="547">
        <f>AG153-SUM(AG131:AG151)</f>
        <v>120</v>
      </c>
      <c r="AH152" s="547">
        <f>AH153-SUM(AH131:AH151)</f>
        <v>862</v>
      </c>
      <c r="AI152" s="255">
        <f>ROUND(((AH152/AG152-1)*100), 1)</f>
        <v>618.29999999999995</v>
      </c>
    </row>
    <row r="153" spans="1:35">
      <c r="A153" s="92"/>
      <c r="B153" s="860"/>
      <c r="C153" s="105" t="s">
        <v>199</v>
      </c>
      <c r="D153" s="95">
        <v>108567</v>
      </c>
      <c r="E153" s="95">
        <v>79577</v>
      </c>
      <c r="F153" s="95">
        <v>92856</v>
      </c>
      <c r="G153" s="95">
        <v>153225</v>
      </c>
      <c r="H153" s="95">
        <v>51724</v>
      </c>
      <c r="I153" s="644">
        <v>5277</v>
      </c>
      <c r="J153" s="644">
        <v>2048</v>
      </c>
      <c r="K153" s="256">
        <f>ROUND(((J153/I153-1)*100), 1)</f>
        <v>-61.2</v>
      </c>
      <c r="L153" s="381">
        <f>O153-I153</f>
        <v>5134</v>
      </c>
      <c r="M153" s="548">
        <f>P153-J153</f>
        <v>3220</v>
      </c>
      <c r="N153" s="256">
        <f>ROUND(((M153/L153-1)*100), 1)</f>
        <v>-37.299999999999997</v>
      </c>
      <c r="O153" s="548">
        <v>10411</v>
      </c>
      <c r="P153" s="548">
        <v>5268</v>
      </c>
      <c r="Q153" s="256">
        <f>ROUND(((P153/O153-1)*100), 1)</f>
        <v>-49.4</v>
      </c>
      <c r="R153" s="554">
        <f>U153-O153</f>
        <v>5451</v>
      </c>
      <c r="S153" s="548">
        <f>V153-P153</f>
        <v>6223</v>
      </c>
      <c r="T153" s="256">
        <f>ROUND(((S153/R153-1)*100), 1)</f>
        <v>14.2</v>
      </c>
      <c r="U153" s="548">
        <v>15862</v>
      </c>
      <c r="V153" s="548">
        <v>11491</v>
      </c>
      <c r="W153" s="256">
        <f>ROUND(((V153/U153-1)*100), 1)</f>
        <v>-27.6</v>
      </c>
      <c r="X153" s="381">
        <f>AA153-U153</f>
        <v>5587</v>
      </c>
      <c r="Y153" s="548">
        <f>AB153-V153</f>
        <v>4367</v>
      </c>
      <c r="Z153" s="256">
        <f>ROUND(((Y153/X153-1)*100), 1)</f>
        <v>-21.8</v>
      </c>
      <c r="AA153" s="644">
        <v>21449</v>
      </c>
      <c r="AB153" s="644">
        <v>15858</v>
      </c>
      <c r="AC153" s="256">
        <f>ROUND(((AB153/AA153-1)*100), 1)</f>
        <v>-26.1</v>
      </c>
      <c r="AD153" s="381">
        <f>AG153-AA153</f>
        <v>5383</v>
      </c>
      <c r="AE153" s="554">
        <f>AH153-AB153</f>
        <v>3000</v>
      </c>
      <c r="AF153" s="256">
        <f>ROUND(((AE153/AD153-1)*100), 1)</f>
        <v>-44.3</v>
      </c>
      <c r="AG153" s="548">
        <v>26832</v>
      </c>
      <c r="AH153" s="548">
        <v>18858</v>
      </c>
      <c r="AI153" s="256">
        <f>ROUND(((AH153/AG153-1)*100), 1)</f>
        <v>-29.7</v>
      </c>
    </row>
    <row r="154" spans="1:35">
      <c r="A154" s="8"/>
      <c r="B154" s="844" t="s">
        <v>32</v>
      </c>
      <c r="C154" s="863"/>
      <c r="D154" s="95">
        <f t="shared" ref="D154:J154" si="240">SUM(D90+D105+D130+D153)</f>
        <v>1655344</v>
      </c>
      <c r="E154" s="95">
        <f t="shared" si="240"/>
        <v>1621431</v>
      </c>
      <c r="F154" s="95">
        <f t="shared" si="240"/>
        <v>1446299</v>
      </c>
      <c r="G154" s="95">
        <f t="shared" si="240"/>
        <v>1508451</v>
      </c>
      <c r="H154" s="95">
        <f t="shared" si="240"/>
        <v>1389821</v>
      </c>
      <c r="I154" s="651">
        <f t="shared" si="240"/>
        <v>123442</v>
      </c>
      <c r="J154" s="651">
        <f t="shared" si="240"/>
        <v>134598</v>
      </c>
      <c r="K154" s="256">
        <f>ROUND(((J154/I154-1)*100), 1)</f>
        <v>9</v>
      </c>
      <c r="L154" s="379">
        <f>SUM(L90+L105+L130+L153)</f>
        <v>110484</v>
      </c>
      <c r="M154" s="552">
        <f>SUM(M90+M105+M130+M153)</f>
        <v>110093</v>
      </c>
      <c r="N154" s="256">
        <f>ROUND(((M154/L154-1)*100), 1)</f>
        <v>-0.4</v>
      </c>
      <c r="O154" s="552">
        <f>SUM(O90+O105+O130+O153)</f>
        <v>233926</v>
      </c>
      <c r="P154" s="552">
        <f>SUM(P90+P105+P130+P153)</f>
        <v>244691</v>
      </c>
      <c r="Q154" s="256">
        <f>ROUND(((P154/O154-1)*100), 1)</f>
        <v>4.5999999999999996</v>
      </c>
      <c r="R154" s="552">
        <f>SUM(R90+R105+R130+R153)</f>
        <v>117382</v>
      </c>
      <c r="S154" s="552">
        <f>SUM(S90+S105+S130+S153)</f>
        <v>145166</v>
      </c>
      <c r="T154" s="256">
        <f>ROUND(((S154/R154-1)*100), 1)</f>
        <v>23.7</v>
      </c>
      <c r="U154" s="552">
        <f>SUM(U90+U105+U130+U153)</f>
        <v>351308</v>
      </c>
      <c r="V154" s="552">
        <f>SUM(V90+V105+V130+V153)</f>
        <v>389857</v>
      </c>
      <c r="W154" s="256">
        <f>ROUND(((V154/U154-1)*100), 1)</f>
        <v>11</v>
      </c>
      <c r="X154" s="379">
        <f>SUM(X90+X105+X130+X153)</f>
        <v>121175</v>
      </c>
      <c r="Y154" s="552">
        <f>SUM(Y90+Y105+Y130+Y153)</f>
        <v>142903</v>
      </c>
      <c r="Z154" s="256">
        <f>ROUND(((Y154/X154-1)*100), 1)</f>
        <v>17.899999999999999</v>
      </c>
      <c r="AA154" s="651">
        <f>SUM(AA90+AA105+AA130+AA153)</f>
        <v>472483</v>
      </c>
      <c r="AB154" s="651">
        <f>SUM(AB90+AB105+AB130+AB153)</f>
        <v>532760</v>
      </c>
      <c r="AC154" s="256">
        <f>ROUND(((AB154/AA154-1)*100), 1)</f>
        <v>12.8</v>
      </c>
      <c r="AD154" s="379">
        <f>SUM(AD90+AD105+AD130+AD153)</f>
        <v>113547</v>
      </c>
      <c r="AE154" s="552">
        <f>SUM(AE90+AE105+AE130+AE153)</f>
        <v>115813</v>
      </c>
      <c r="AF154" s="256">
        <f>ROUND(((AE154/AD154-1)*100), 1)</f>
        <v>2</v>
      </c>
      <c r="AG154" s="552">
        <f>SUM(AG90+AG105+AG130+AG153)</f>
        <v>586030</v>
      </c>
      <c r="AH154" s="552">
        <f>SUM(AH90+AH105+AH130+AH153)</f>
        <v>648573</v>
      </c>
      <c r="AI154" s="256">
        <f>ROUND(((AH154/AG154-1)*100), 1)</f>
        <v>10.7</v>
      </c>
    </row>
    <row r="155" spans="1:35">
      <c r="A155" s="51" t="s">
        <v>111</v>
      </c>
      <c r="K155" s="248"/>
    </row>
    <row r="156" spans="1:35">
      <c r="K156" s="248"/>
    </row>
    <row r="157" spans="1:35">
      <c r="A157" s="77" t="s">
        <v>211</v>
      </c>
      <c r="B157" s="97"/>
      <c r="C157" s="97"/>
      <c r="D157" s="98"/>
      <c r="F157" s="106"/>
      <c r="H157" s="106" t="s">
        <v>286</v>
      </c>
      <c r="I157" s="645"/>
      <c r="J157" s="645"/>
      <c r="K157" s="252"/>
      <c r="L157" s="106"/>
      <c r="M157" s="569"/>
      <c r="N157" s="264"/>
      <c r="O157" s="569"/>
      <c r="P157" s="569"/>
      <c r="Q157" s="264"/>
      <c r="R157" s="539"/>
      <c r="S157" s="569"/>
      <c r="T157" s="264"/>
      <c r="U157" s="569"/>
      <c r="V157" s="569"/>
      <c r="W157" s="264"/>
      <c r="X157" s="106"/>
      <c r="Y157" s="569"/>
      <c r="Z157" s="264"/>
      <c r="AA157" s="645"/>
      <c r="AB157" s="645"/>
      <c r="AC157" s="264"/>
      <c r="AD157" s="106"/>
      <c r="AE157" s="569"/>
      <c r="AF157" s="264"/>
      <c r="AG157" s="569"/>
      <c r="AH157" s="569"/>
      <c r="AI157" s="264"/>
    </row>
    <row r="158" spans="1:35">
      <c r="A158" s="97"/>
      <c r="B158" s="97"/>
      <c r="C158" s="97"/>
      <c r="D158" s="98"/>
      <c r="F158" s="106"/>
      <c r="H158" s="106" t="s">
        <v>324</v>
      </c>
      <c r="I158" s="645"/>
      <c r="J158" s="645"/>
      <c r="K158" s="252"/>
      <c r="L158" s="106"/>
      <c r="M158" s="569"/>
      <c r="N158" s="264"/>
      <c r="O158" s="569"/>
      <c r="P158" s="569"/>
      <c r="Q158" s="264"/>
      <c r="R158" s="539"/>
      <c r="S158" s="569"/>
      <c r="T158" s="264"/>
      <c r="U158" s="569"/>
      <c r="V158" s="569"/>
      <c r="W158" s="264"/>
      <c r="X158" s="106"/>
      <c r="Y158" s="569"/>
      <c r="Z158" s="264"/>
      <c r="AA158" s="645"/>
      <c r="AB158" s="645"/>
      <c r="AC158" s="264"/>
      <c r="AD158" s="106"/>
      <c r="AE158" s="569"/>
      <c r="AF158" s="264"/>
      <c r="AG158" s="569"/>
      <c r="AH158" s="569"/>
      <c r="AI158" s="264"/>
    </row>
    <row r="159" spans="1:35">
      <c r="A159" s="26"/>
      <c r="B159" s="26"/>
      <c r="D159" s="71"/>
      <c r="E159" s="71"/>
      <c r="F159" s="266"/>
      <c r="G159" s="266"/>
      <c r="H159" s="567"/>
      <c r="I159" s="624"/>
      <c r="J159" s="624"/>
      <c r="K159" s="249" t="s">
        <v>87</v>
      </c>
      <c r="L159" s="266"/>
      <c r="M159" s="567"/>
      <c r="N159" s="262"/>
      <c r="O159" s="567"/>
      <c r="P159" s="567"/>
      <c r="Q159" s="262" t="s">
        <v>87</v>
      </c>
      <c r="R159" s="567"/>
      <c r="S159" s="567"/>
      <c r="T159" s="262"/>
      <c r="U159" s="567"/>
      <c r="V159" s="567"/>
      <c r="W159" s="262" t="s">
        <v>87</v>
      </c>
      <c r="X159" s="266"/>
      <c r="Y159" s="567"/>
      <c r="Z159" s="262"/>
      <c r="AA159" s="624"/>
      <c r="AB159" s="624"/>
      <c r="AC159" s="262" t="s">
        <v>87</v>
      </c>
      <c r="AD159" s="266"/>
      <c r="AE159" s="567"/>
      <c r="AF159" s="262"/>
      <c r="AG159" s="567"/>
      <c r="AH159" s="567"/>
      <c r="AI159" s="262" t="s">
        <v>87</v>
      </c>
    </row>
    <row r="160" spans="1:35" s="367" customFormat="1" ht="18" customHeight="1">
      <c r="A160" s="733" t="s">
        <v>88</v>
      </c>
      <c r="B160" s="733"/>
      <c r="C160" s="733"/>
      <c r="D160" s="855" t="s">
        <v>2</v>
      </c>
      <c r="E160" s="855" t="s">
        <v>559</v>
      </c>
      <c r="F160" s="855" t="s">
        <v>76</v>
      </c>
      <c r="G160" s="856" t="s">
        <v>294</v>
      </c>
      <c r="H160" s="856" t="s">
        <v>431</v>
      </c>
      <c r="I160" s="854" t="s">
        <v>33</v>
      </c>
      <c r="J160" s="855"/>
      <c r="K160" s="733"/>
      <c r="L160" s="852" t="s">
        <v>553</v>
      </c>
      <c r="M160" s="853"/>
      <c r="N160" s="733"/>
      <c r="O160" s="852" t="s">
        <v>554</v>
      </c>
      <c r="P160" s="853"/>
      <c r="Q160" s="733"/>
      <c r="R160" s="852" t="s">
        <v>555</v>
      </c>
      <c r="S160" s="853"/>
      <c r="T160" s="733"/>
      <c r="U160" s="852" t="s">
        <v>556</v>
      </c>
      <c r="V160" s="853"/>
      <c r="W160" s="733"/>
      <c r="X160" s="852" t="s">
        <v>484</v>
      </c>
      <c r="Y160" s="853"/>
      <c r="Z160" s="733"/>
      <c r="AA160" s="852" t="s">
        <v>486</v>
      </c>
      <c r="AB160" s="853"/>
      <c r="AC160" s="733"/>
      <c r="AD160" s="852" t="s">
        <v>557</v>
      </c>
      <c r="AE160" s="853"/>
      <c r="AF160" s="733"/>
      <c r="AG160" s="852" t="s">
        <v>558</v>
      </c>
      <c r="AH160" s="853"/>
      <c r="AI160" s="733"/>
    </row>
    <row r="161" spans="1:35" s="367" customFormat="1" ht="18" customHeight="1">
      <c r="A161" s="733"/>
      <c r="B161" s="733"/>
      <c r="C161" s="733"/>
      <c r="D161" s="855"/>
      <c r="E161" s="855"/>
      <c r="F161" s="855"/>
      <c r="G161" s="857"/>
      <c r="H161" s="857"/>
      <c r="I161" s="699" t="s">
        <v>431</v>
      </c>
      <c r="J161" s="650" t="s">
        <v>503</v>
      </c>
      <c r="K161" s="688" t="s">
        <v>5</v>
      </c>
      <c r="L161" s="687" t="s">
        <v>431</v>
      </c>
      <c r="M161" s="586" t="s">
        <v>503</v>
      </c>
      <c r="N161" s="688" t="s">
        <v>5</v>
      </c>
      <c r="O161" s="687" t="s">
        <v>431</v>
      </c>
      <c r="P161" s="586" t="s">
        <v>503</v>
      </c>
      <c r="Q161" s="688" t="s">
        <v>5</v>
      </c>
      <c r="R161" s="687" t="s">
        <v>431</v>
      </c>
      <c r="S161" s="586" t="s">
        <v>503</v>
      </c>
      <c r="T161" s="688" t="s">
        <v>5</v>
      </c>
      <c r="U161" s="687" t="s">
        <v>431</v>
      </c>
      <c r="V161" s="586" t="s">
        <v>503</v>
      </c>
      <c r="W161" s="688" t="s">
        <v>5</v>
      </c>
      <c r="X161" s="687" t="s">
        <v>431</v>
      </c>
      <c r="Y161" s="586" t="s">
        <v>503</v>
      </c>
      <c r="Z161" s="688" t="s">
        <v>5</v>
      </c>
      <c r="AA161" s="699" t="s">
        <v>431</v>
      </c>
      <c r="AB161" s="650" t="s">
        <v>503</v>
      </c>
      <c r="AC161" s="688" t="s">
        <v>5</v>
      </c>
      <c r="AD161" s="687" t="s">
        <v>431</v>
      </c>
      <c r="AE161" s="586" t="s">
        <v>503</v>
      </c>
      <c r="AF161" s="688" t="s">
        <v>5</v>
      </c>
      <c r="AG161" s="687" t="s">
        <v>431</v>
      </c>
      <c r="AH161" s="586" t="s">
        <v>503</v>
      </c>
      <c r="AI161" s="688" t="s">
        <v>5</v>
      </c>
    </row>
    <row r="162" spans="1:35">
      <c r="A162" s="858" t="s">
        <v>114</v>
      </c>
      <c r="B162" s="847" t="s">
        <v>212</v>
      </c>
      <c r="C162" s="99" t="s">
        <v>100</v>
      </c>
      <c r="D162" s="100">
        <v>3183</v>
      </c>
      <c r="E162" s="100">
        <v>3594</v>
      </c>
      <c r="F162" s="102">
        <v>4898</v>
      </c>
      <c r="G162" s="94">
        <v>9332</v>
      </c>
      <c r="H162" s="94">
        <v>6567</v>
      </c>
      <c r="I162" s="642">
        <v>521</v>
      </c>
      <c r="J162" s="642">
        <v>854</v>
      </c>
      <c r="K162" s="255">
        <f t="shared" ref="K162:K171" si="241">ROUND(((J162/I162-1)*100), 1)</f>
        <v>63.9</v>
      </c>
      <c r="L162" s="386">
        <f t="shared" ref="L162:M165" si="242">O162-I162</f>
        <v>985</v>
      </c>
      <c r="M162" s="547">
        <f t="shared" si="242"/>
        <v>657</v>
      </c>
      <c r="N162" s="255">
        <f t="shared" ref="N162:N165" si="243">ROUND(((M162/L162-1)*100), 1)</f>
        <v>-33.299999999999997</v>
      </c>
      <c r="O162" s="547">
        <v>1506</v>
      </c>
      <c r="P162" s="547">
        <v>1511</v>
      </c>
      <c r="Q162" s="255">
        <f t="shared" ref="Q162:Q176" si="244">ROUND(((P162/O162-1)*100), 1)</f>
        <v>0.3</v>
      </c>
      <c r="R162" s="574">
        <f t="shared" ref="R162:R165" si="245">U162-O162</f>
        <v>661</v>
      </c>
      <c r="S162" s="547">
        <f t="shared" ref="S162:S165" si="246">V162-P162</f>
        <v>1668</v>
      </c>
      <c r="T162" s="255">
        <f t="shared" ref="T162:T165" si="247">ROUND(((S162/R162-1)*100), 1)</f>
        <v>152.30000000000001</v>
      </c>
      <c r="U162" s="547">
        <v>2167</v>
      </c>
      <c r="V162" s="547">
        <v>3179</v>
      </c>
      <c r="W162" s="255">
        <f t="shared" ref="W162:W176" si="248">ROUND(((V162/U162-1)*100), 1)</f>
        <v>46.7</v>
      </c>
      <c r="X162" s="386">
        <f t="shared" ref="X162:Y177" si="249">AA162-U162</f>
        <v>779</v>
      </c>
      <c r="Y162" s="547">
        <f t="shared" si="249"/>
        <v>1457</v>
      </c>
      <c r="Z162" s="255">
        <f t="shared" ref="Z162:Z175" si="250">ROUND(((Y162/X162-1)*100), 1)</f>
        <v>87</v>
      </c>
      <c r="AA162" s="642">
        <v>2946</v>
      </c>
      <c r="AB162" s="642">
        <v>4636</v>
      </c>
      <c r="AC162" s="255">
        <f t="shared" ref="AC162:AC177" si="251">ROUND(((AB162/AA162-1)*100), 1)</f>
        <v>57.4</v>
      </c>
      <c r="AD162" s="386">
        <f t="shared" ref="AD162:AE177" si="252">AG162-AA162</f>
        <v>441</v>
      </c>
      <c r="AE162" s="574">
        <f t="shared" si="252"/>
        <v>894</v>
      </c>
      <c r="AF162" s="255">
        <f t="shared" ref="AF162:AF165" si="253">ROUND(((AE162/AD162-1)*100), 1)</f>
        <v>102.7</v>
      </c>
      <c r="AG162" s="547">
        <v>3387</v>
      </c>
      <c r="AH162" s="547">
        <v>5530</v>
      </c>
      <c r="AI162" s="255">
        <f t="shared" ref="AI162:AI175" si="254">ROUND(((AH162/AG162-1)*100), 1)</f>
        <v>63.3</v>
      </c>
    </row>
    <row r="163" spans="1:35">
      <c r="A163" s="858"/>
      <c r="B163" s="846"/>
      <c r="C163" s="101" t="s">
        <v>105</v>
      </c>
      <c r="D163" s="94">
        <v>493</v>
      </c>
      <c r="E163" s="94">
        <v>621</v>
      </c>
      <c r="F163" s="102">
        <v>877</v>
      </c>
      <c r="G163" s="94">
        <v>1876</v>
      </c>
      <c r="H163" s="94">
        <v>1754</v>
      </c>
      <c r="I163" s="642">
        <v>173</v>
      </c>
      <c r="J163" s="642">
        <v>173</v>
      </c>
      <c r="K163" s="255">
        <f t="shared" si="241"/>
        <v>0</v>
      </c>
      <c r="L163" s="386">
        <f t="shared" si="242"/>
        <v>43</v>
      </c>
      <c r="M163" s="547">
        <f t="shared" si="242"/>
        <v>146</v>
      </c>
      <c r="N163" s="255">
        <f t="shared" si="243"/>
        <v>239.5</v>
      </c>
      <c r="O163" s="547">
        <v>216</v>
      </c>
      <c r="P163" s="547">
        <v>319</v>
      </c>
      <c r="Q163" s="255">
        <f t="shared" si="244"/>
        <v>47.7</v>
      </c>
      <c r="R163" s="574">
        <f t="shared" si="245"/>
        <v>123</v>
      </c>
      <c r="S163" s="547">
        <f t="shared" si="246"/>
        <v>77</v>
      </c>
      <c r="T163" s="255">
        <f t="shared" si="247"/>
        <v>-37.4</v>
      </c>
      <c r="U163" s="547">
        <v>339</v>
      </c>
      <c r="V163" s="547">
        <v>396</v>
      </c>
      <c r="W163" s="255">
        <f t="shared" si="248"/>
        <v>16.8</v>
      </c>
      <c r="X163" s="386">
        <f t="shared" si="249"/>
        <v>274</v>
      </c>
      <c r="Y163" s="547">
        <f t="shared" si="249"/>
        <v>122</v>
      </c>
      <c r="Z163" s="255">
        <f t="shared" si="250"/>
        <v>-55.5</v>
      </c>
      <c r="AA163" s="642">
        <v>613</v>
      </c>
      <c r="AB163" s="642">
        <v>518</v>
      </c>
      <c r="AC163" s="255">
        <f t="shared" si="251"/>
        <v>-15.5</v>
      </c>
      <c r="AD163" s="386">
        <f t="shared" si="252"/>
        <v>105</v>
      </c>
      <c r="AE163" s="574">
        <f t="shared" si="252"/>
        <v>86</v>
      </c>
      <c r="AF163" s="255">
        <f t="shared" si="253"/>
        <v>-18.100000000000001</v>
      </c>
      <c r="AG163" s="547">
        <v>718</v>
      </c>
      <c r="AH163" s="547">
        <v>604</v>
      </c>
      <c r="AI163" s="255">
        <f t="shared" si="254"/>
        <v>-15.9</v>
      </c>
    </row>
    <row r="164" spans="1:35">
      <c r="A164" s="92"/>
      <c r="B164" s="846"/>
      <c r="C164" s="101" t="s">
        <v>94</v>
      </c>
      <c r="D164" s="94">
        <v>1929</v>
      </c>
      <c r="E164" s="94">
        <v>1904</v>
      </c>
      <c r="F164" s="102">
        <v>1555</v>
      </c>
      <c r="G164" s="94">
        <v>1324</v>
      </c>
      <c r="H164" s="94">
        <v>1542</v>
      </c>
      <c r="I164" s="642">
        <v>74</v>
      </c>
      <c r="J164" s="642">
        <v>265</v>
      </c>
      <c r="K164" s="255">
        <f t="shared" si="241"/>
        <v>258.10000000000002</v>
      </c>
      <c r="L164" s="386">
        <f t="shared" si="242"/>
        <v>105</v>
      </c>
      <c r="M164" s="547">
        <f t="shared" si="242"/>
        <v>284</v>
      </c>
      <c r="N164" s="255">
        <f t="shared" si="243"/>
        <v>170.5</v>
      </c>
      <c r="O164" s="547">
        <v>179</v>
      </c>
      <c r="P164" s="547">
        <v>549</v>
      </c>
      <c r="Q164" s="255">
        <f t="shared" si="244"/>
        <v>206.7</v>
      </c>
      <c r="R164" s="574">
        <f t="shared" si="245"/>
        <v>188</v>
      </c>
      <c r="S164" s="547">
        <f t="shared" si="246"/>
        <v>66</v>
      </c>
      <c r="T164" s="255">
        <f t="shared" si="247"/>
        <v>-64.900000000000006</v>
      </c>
      <c r="U164" s="547">
        <v>367</v>
      </c>
      <c r="V164" s="547">
        <v>615</v>
      </c>
      <c r="W164" s="255">
        <f t="shared" si="248"/>
        <v>67.599999999999994</v>
      </c>
      <c r="X164" s="386">
        <f t="shared" si="249"/>
        <v>141</v>
      </c>
      <c r="Y164" s="547">
        <f t="shared" si="249"/>
        <v>153</v>
      </c>
      <c r="Z164" s="255">
        <f t="shared" si="250"/>
        <v>8.5</v>
      </c>
      <c r="AA164" s="642">
        <v>508</v>
      </c>
      <c r="AB164" s="642">
        <v>768</v>
      </c>
      <c r="AC164" s="255">
        <f t="shared" si="251"/>
        <v>51.2</v>
      </c>
      <c r="AD164" s="386">
        <f t="shared" si="252"/>
        <v>170</v>
      </c>
      <c r="AE164" s="574">
        <f t="shared" si="252"/>
        <v>151</v>
      </c>
      <c r="AF164" s="255">
        <f t="shared" si="253"/>
        <v>-11.2</v>
      </c>
      <c r="AG164" s="547">
        <v>678</v>
      </c>
      <c r="AH164" s="547">
        <v>919</v>
      </c>
      <c r="AI164" s="255">
        <f t="shared" si="254"/>
        <v>35.5</v>
      </c>
    </row>
    <row r="165" spans="1:35">
      <c r="A165" s="92"/>
      <c r="B165" s="846"/>
      <c r="C165" s="101" t="s">
        <v>89</v>
      </c>
      <c r="D165" s="94">
        <v>2341</v>
      </c>
      <c r="E165" s="94">
        <v>1500</v>
      </c>
      <c r="F165" s="102">
        <v>800</v>
      </c>
      <c r="G165" s="94">
        <v>1086</v>
      </c>
      <c r="H165" s="94">
        <v>1378</v>
      </c>
      <c r="I165" s="642">
        <v>221</v>
      </c>
      <c r="J165" s="642">
        <v>148</v>
      </c>
      <c r="K165" s="255">
        <f t="shared" si="241"/>
        <v>-33</v>
      </c>
      <c r="L165" s="386">
        <f t="shared" si="242"/>
        <v>141</v>
      </c>
      <c r="M165" s="547">
        <f t="shared" si="242"/>
        <v>192</v>
      </c>
      <c r="N165" s="255">
        <f t="shared" si="243"/>
        <v>36.200000000000003</v>
      </c>
      <c r="O165" s="547">
        <v>362</v>
      </c>
      <c r="P165" s="547">
        <v>340</v>
      </c>
      <c r="Q165" s="255">
        <f t="shared" si="244"/>
        <v>-6.1</v>
      </c>
      <c r="R165" s="574">
        <f t="shared" si="245"/>
        <v>118</v>
      </c>
      <c r="S165" s="547">
        <f t="shared" si="246"/>
        <v>261</v>
      </c>
      <c r="T165" s="255">
        <f t="shared" si="247"/>
        <v>121.2</v>
      </c>
      <c r="U165" s="547">
        <v>480</v>
      </c>
      <c r="V165" s="547">
        <v>601</v>
      </c>
      <c r="W165" s="255">
        <f t="shared" si="248"/>
        <v>25.2</v>
      </c>
      <c r="X165" s="386">
        <f t="shared" si="249"/>
        <v>119</v>
      </c>
      <c r="Y165" s="547">
        <f t="shared" si="249"/>
        <v>51</v>
      </c>
      <c r="Z165" s="255">
        <f t="shared" si="250"/>
        <v>-57.1</v>
      </c>
      <c r="AA165" s="642">
        <v>599</v>
      </c>
      <c r="AB165" s="642">
        <v>652</v>
      </c>
      <c r="AC165" s="255">
        <f t="shared" si="251"/>
        <v>8.8000000000000007</v>
      </c>
      <c r="AD165" s="574">
        <f t="shared" si="252"/>
        <v>113</v>
      </c>
      <c r="AE165" s="574">
        <f t="shared" si="252"/>
        <v>60</v>
      </c>
      <c r="AF165" s="255">
        <f t="shared" si="253"/>
        <v>-46.9</v>
      </c>
      <c r="AG165" s="547">
        <v>712</v>
      </c>
      <c r="AH165" s="547">
        <v>712</v>
      </c>
      <c r="AI165" s="255">
        <f t="shared" si="254"/>
        <v>0</v>
      </c>
    </row>
    <row r="166" spans="1:35">
      <c r="A166" s="92"/>
      <c r="B166" s="846"/>
      <c r="C166" s="329" t="s">
        <v>451</v>
      </c>
      <c r="D166" s="325">
        <v>18</v>
      </c>
      <c r="E166" s="325">
        <v>21</v>
      </c>
      <c r="F166" s="425">
        <v>172</v>
      </c>
      <c r="G166" s="325">
        <v>671</v>
      </c>
      <c r="H166" s="94">
        <v>698</v>
      </c>
      <c r="I166" s="646">
        <v>47</v>
      </c>
      <c r="J166" s="642">
        <v>0</v>
      </c>
      <c r="K166" s="541">
        <f t="shared" si="241"/>
        <v>-100</v>
      </c>
      <c r="L166" s="574">
        <f t="shared" ref="L166:L177" si="255">O166-I166</f>
        <v>147</v>
      </c>
      <c r="M166" s="547">
        <f t="shared" ref="M166:M177" si="256">P166-J166</f>
        <v>0</v>
      </c>
      <c r="N166" s="541">
        <f t="shared" ref="N166:N177" si="257">ROUND(((M166/L166-1)*100), 1)</f>
        <v>-100</v>
      </c>
      <c r="O166" s="547">
        <v>194</v>
      </c>
      <c r="P166" s="549">
        <v>0</v>
      </c>
      <c r="Q166" s="541">
        <f t="shared" si="244"/>
        <v>-100</v>
      </c>
      <c r="R166" s="574">
        <f t="shared" ref="R166:R176" si="258">U166-O166</f>
        <v>82</v>
      </c>
      <c r="S166" s="547">
        <f t="shared" ref="S166:S176" si="259">V166-P166</f>
        <v>164</v>
      </c>
      <c r="T166" s="541">
        <f t="shared" ref="T166:T175" si="260">ROUND(((S166/R166-1)*100), 1)</f>
        <v>100</v>
      </c>
      <c r="U166" s="547">
        <v>276</v>
      </c>
      <c r="V166" s="547">
        <v>164</v>
      </c>
      <c r="W166" s="544">
        <f t="shared" si="248"/>
        <v>-40.6</v>
      </c>
      <c r="X166" s="575">
        <f t="shared" si="249"/>
        <v>59</v>
      </c>
      <c r="Y166" s="547">
        <f t="shared" si="249"/>
        <v>1</v>
      </c>
      <c r="Z166" s="544">
        <f t="shared" si="250"/>
        <v>-98.3</v>
      </c>
      <c r="AA166" s="642">
        <v>335</v>
      </c>
      <c r="AB166" s="642">
        <v>165</v>
      </c>
      <c r="AC166" s="544">
        <f t="shared" si="251"/>
        <v>-50.7</v>
      </c>
      <c r="AD166" s="574">
        <f t="shared" si="252"/>
        <v>3</v>
      </c>
      <c r="AE166" s="574">
        <f t="shared" si="252"/>
        <v>20</v>
      </c>
      <c r="AF166" s="541">
        <f t="shared" ref="AF166:AF178" si="261">ROUND(((AE166/AD166-1)*100), 1)</f>
        <v>566.70000000000005</v>
      </c>
      <c r="AG166" s="547">
        <v>338</v>
      </c>
      <c r="AH166" s="547">
        <v>185</v>
      </c>
      <c r="AI166" s="544">
        <f t="shared" si="254"/>
        <v>-45.3</v>
      </c>
    </row>
    <row r="167" spans="1:35" s="167" customFormat="1">
      <c r="A167" s="322"/>
      <c r="B167" s="846"/>
      <c r="C167" s="101" t="s">
        <v>91</v>
      </c>
      <c r="D167" s="94">
        <v>2097</v>
      </c>
      <c r="E167" s="94">
        <v>2397</v>
      </c>
      <c r="F167" s="102">
        <v>1240</v>
      </c>
      <c r="G167" s="94">
        <v>893</v>
      </c>
      <c r="H167" s="94">
        <v>688</v>
      </c>
      <c r="I167" s="642">
        <v>14</v>
      </c>
      <c r="J167" s="642">
        <v>35</v>
      </c>
      <c r="K167" s="541">
        <f t="shared" si="241"/>
        <v>150</v>
      </c>
      <c r="L167" s="574">
        <f t="shared" si="255"/>
        <v>41</v>
      </c>
      <c r="M167" s="547">
        <f t="shared" si="256"/>
        <v>35</v>
      </c>
      <c r="N167" s="541">
        <f t="shared" si="257"/>
        <v>-14.6</v>
      </c>
      <c r="O167" s="547">
        <v>55</v>
      </c>
      <c r="P167" s="547">
        <v>70</v>
      </c>
      <c r="Q167" s="541">
        <f t="shared" si="244"/>
        <v>27.3</v>
      </c>
      <c r="R167" s="574">
        <f t="shared" si="258"/>
        <v>49</v>
      </c>
      <c r="S167" s="547">
        <f t="shared" si="259"/>
        <v>39</v>
      </c>
      <c r="T167" s="541">
        <f t="shared" si="260"/>
        <v>-20.399999999999999</v>
      </c>
      <c r="U167" s="547">
        <v>104</v>
      </c>
      <c r="V167" s="547">
        <v>109</v>
      </c>
      <c r="W167" s="541">
        <f t="shared" si="248"/>
        <v>4.8</v>
      </c>
      <c r="X167" s="574">
        <f t="shared" si="249"/>
        <v>20</v>
      </c>
      <c r="Y167" s="547">
        <f t="shared" si="249"/>
        <v>8</v>
      </c>
      <c r="Z167" s="541">
        <f t="shared" si="250"/>
        <v>-60</v>
      </c>
      <c r="AA167" s="642">
        <v>124</v>
      </c>
      <c r="AB167" s="642">
        <v>117</v>
      </c>
      <c r="AC167" s="541">
        <f t="shared" si="251"/>
        <v>-5.6</v>
      </c>
      <c r="AD167" s="574">
        <f t="shared" si="252"/>
        <v>26</v>
      </c>
      <c r="AE167" s="574">
        <f t="shared" si="252"/>
        <v>68</v>
      </c>
      <c r="AF167" s="541">
        <f t="shared" si="261"/>
        <v>161.5</v>
      </c>
      <c r="AG167" s="547">
        <v>150</v>
      </c>
      <c r="AH167" s="547">
        <v>185</v>
      </c>
      <c r="AI167" s="541">
        <f t="shared" si="254"/>
        <v>23.3</v>
      </c>
    </row>
    <row r="168" spans="1:35" s="167" customFormat="1">
      <c r="A168" s="322"/>
      <c r="B168" s="846"/>
      <c r="C168" s="329" t="s">
        <v>104</v>
      </c>
      <c r="D168" s="325">
        <v>345</v>
      </c>
      <c r="E168" s="325">
        <v>275</v>
      </c>
      <c r="F168" s="425">
        <v>332</v>
      </c>
      <c r="G168" s="325">
        <v>339</v>
      </c>
      <c r="H168" s="94">
        <v>483</v>
      </c>
      <c r="I168" s="646">
        <v>50</v>
      </c>
      <c r="J168" s="642">
        <v>25</v>
      </c>
      <c r="K168" s="541">
        <f t="shared" si="241"/>
        <v>-50</v>
      </c>
      <c r="L168" s="574">
        <f t="shared" si="255"/>
        <v>33</v>
      </c>
      <c r="M168" s="547">
        <f t="shared" si="256"/>
        <v>31</v>
      </c>
      <c r="N168" s="541">
        <f t="shared" si="257"/>
        <v>-6.1</v>
      </c>
      <c r="O168" s="547">
        <v>83</v>
      </c>
      <c r="P168" s="549">
        <v>56</v>
      </c>
      <c r="Q168" s="541">
        <f t="shared" si="244"/>
        <v>-32.5</v>
      </c>
      <c r="R168" s="574">
        <f t="shared" si="258"/>
        <v>0</v>
      </c>
      <c r="S168" s="547">
        <f t="shared" si="259"/>
        <v>98</v>
      </c>
      <c r="T168" s="570">
        <v>0</v>
      </c>
      <c r="U168" s="547">
        <v>83</v>
      </c>
      <c r="V168" s="547">
        <v>154</v>
      </c>
      <c r="W168" s="541">
        <f t="shared" si="248"/>
        <v>85.5</v>
      </c>
      <c r="X168" s="393">
        <f t="shared" si="249"/>
        <v>72</v>
      </c>
      <c r="Y168" s="547">
        <f t="shared" si="249"/>
        <v>37</v>
      </c>
      <c r="Z168" s="541">
        <f t="shared" si="250"/>
        <v>-48.6</v>
      </c>
      <c r="AA168" s="642">
        <v>155</v>
      </c>
      <c r="AB168" s="642">
        <v>191</v>
      </c>
      <c r="AC168" s="330">
        <f t="shared" si="251"/>
        <v>23.2</v>
      </c>
      <c r="AD168" s="574">
        <f t="shared" si="252"/>
        <v>62</v>
      </c>
      <c r="AE168" s="574">
        <f t="shared" si="252"/>
        <v>43</v>
      </c>
      <c r="AF168" s="541">
        <f t="shared" si="261"/>
        <v>-30.6</v>
      </c>
      <c r="AG168" s="547">
        <v>217</v>
      </c>
      <c r="AH168" s="547">
        <v>234</v>
      </c>
      <c r="AI168" s="330">
        <f t="shared" si="254"/>
        <v>7.8</v>
      </c>
    </row>
    <row r="169" spans="1:35" s="167" customFormat="1">
      <c r="A169" s="322"/>
      <c r="B169" s="846"/>
      <c r="C169" s="329" t="s">
        <v>118</v>
      </c>
      <c r="D169" s="325">
        <v>63</v>
      </c>
      <c r="E169" s="325">
        <v>19</v>
      </c>
      <c r="F169" s="425">
        <v>149</v>
      </c>
      <c r="G169" s="325">
        <v>51</v>
      </c>
      <c r="H169" s="94">
        <v>389</v>
      </c>
      <c r="I169" s="646">
        <v>0</v>
      </c>
      <c r="J169" s="642">
        <v>0</v>
      </c>
      <c r="K169" s="570">
        <v>0</v>
      </c>
      <c r="L169" s="574">
        <f t="shared" si="255"/>
        <v>74</v>
      </c>
      <c r="M169" s="547">
        <f t="shared" si="256"/>
        <v>0</v>
      </c>
      <c r="N169" s="541">
        <f t="shared" si="257"/>
        <v>-100</v>
      </c>
      <c r="O169" s="547">
        <v>74</v>
      </c>
      <c r="P169" s="549">
        <v>0</v>
      </c>
      <c r="Q169" s="541">
        <f t="shared" si="244"/>
        <v>-100</v>
      </c>
      <c r="R169" s="574">
        <f t="shared" si="258"/>
        <v>75</v>
      </c>
      <c r="S169" s="547">
        <f t="shared" si="259"/>
        <v>0</v>
      </c>
      <c r="T169" s="541">
        <f t="shared" si="260"/>
        <v>-100</v>
      </c>
      <c r="U169" s="547">
        <v>149</v>
      </c>
      <c r="V169" s="547">
        <v>0</v>
      </c>
      <c r="W169" s="541">
        <f t="shared" si="248"/>
        <v>-100</v>
      </c>
      <c r="X169" s="393">
        <f t="shared" si="249"/>
        <v>0</v>
      </c>
      <c r="Y169" s="547">
        <f t="shared" si="249"/>
        <v>19</v>
      </c>
      <c r="Z169" s="570">
        <v>0</v>
      </c>
      <c r="AA169" s="642">
        <v>149</v>
      </c>
      <c r="AB169" s="642">
        <v>19</v>
      </c>
      <c r="AC169" s="544">
        <f t="shared" si="251"/>
        <v>-87.2</v>
      </c>
      <c r="AD169" s="574">
        <f t="shared" si="252"/>
        <v>0</v>
      </c>
      <c r="AE169" s="574">
        <f t="shared" si="252"/>
        <v>34</v>
      </c>
      <c r="AF169" s="570">
        <v>0</v>
      </c>
      <c r="AG169" s="547">
        <v>149</v>
      </c>
      <c r="AH169" s="547">
        <v>53</v>
      </c>
      <c r="AI169" s="544">
        <f t="shared" si="254"/>
        <v>-64.400000000000006</v>
      </c>
    </row>
    <row r="170" spans="1:35" s="434" customFormat="1">
      <c r="A170" s="322"/>
      <c r="B170" s="846"/>
      <c r="C170" s="329" t="s">
        <v>45</v>
      </c>
      <c r="D170" s="325">
        <v>862</v>
      </c>
      <c r="E170" s="325">
        <v>412</v>
      </c>
      <c r="F170" s="425">
        <v>540</v>
      </c>
      <c r="G170" s="325">
        <v>333</v>
      </c>
      <c r="H170" s="94">
        <v>196</v>
      </c>
      <c r="I170" s="646">
        <v>25</v>
      </c>
      <c r="J170" s="642">
        <v>40</v>
      </c>
      <c r="K170" s="541">
        <f t="shared" si="241"/>
        <v>60</v>
      </c>
      <c r="L170" s="574">
        <f t="shared" si="255"/>
        <v>44</v>
      </c>
      <c r="M170" s="547">
        <f t="shared" si="256"/>
        <v>22</v>
      </c>
      <c r="N170" s="541">
        <f t="shared" si="257"/>
        <v>-50</v>
      </c>
      <c r="O170" s="547">
        <v>69</v>
      </c>
      <c r="P170" s="549">
        <v>62</v>
      </c>
      <c r="Q170" s="541">
        <f t="shared" si="244"/>
        <v>-10.1</v>
      </c>
      <c r="R170" s="574">
        <f t="shared" si="258"/>
        <v>7</v>
      </c>
      <c r="S170" s="547">
        <f t="shared" si="259"/>
        <v>14</v>
      </c>
      <c r="T170" s="541">
        <f t="shared" si="260"/>
        <v>100</v>
      </c>
      <c r="U170" s="547">
        <v>76</v>
      </c>
      <c r="V170" s="547">
        <v>76</v>
      </c>
      <c r="W170" s="541">
        <f t="shared" si="248"/>
        <v>0</v>
      </c>
      <c r="X170" s="393">
        <f t="shared" si="249"/>
        <v>7</v>
      </c>
      <c r="Y170" s="547">
        <f t="shared" si="249"/>
        <v>16</v>
      </c>
      <c r="Z170" s="541">
        <f t="shared" si="250"/>
        <v>128.6</v>
      </c>
      <c r="AA170" s="642">
        <v>83</v>
      </c>
      <c r="AB170" s="642">
        <v>92</v>
      </c>
      <c r="AC170" s="544">
        <f t="shared" si="251"/>
        <v>10.8</v>
      </c>
      <c r="AD170" s="574">
        <f t="shared" si="252"/>
        <v>11</v>
      </c>
      <c r="AE170" s="574">
        <f t="shared" si="252"/>
        <v>6</v>
      </c>
      <c r="AF170" s="541">
        <f t="shared" si="261"/>
        <v>-45.5</v>
      </c>
      <c r="AG170" s="547">
        <v>94</v>
      </c>
      <c r="AH170" s="547">
        <v>98</v>
      </c>
      <c r="AI170" s="544">
        <f t="shared" si="254"/>
        <v>4.3</v>
      </c>
    </row>
    <row r="171" spans="1:35" s="167" customFormat="1">
      <c r="A171" s="322"/>
      <c r="B171" s="846"/>
      <c r="C171" s="329" t="s">
        <v>93</v>
      </c>
      <c r="D171" s="325">
        <v>410</v>
      </c>
      <c r="E171" s="325">
        <v>795</v>
      </c>
      <c r="F171" s="425">
        <v>1860</v>
      </c>
      <c r="G171" s="325">
        <v>161</v>
      </c>
      <c r="H171" s="94">
        <v>151</v>
      </c>
      <c r="I171" s="646">
        <v>5</v>
      </c>
      <c r="J171" s="642">
        <v>0</v>
      </c>
      <c r="K171" s="541">
        <f t="shared" si="241"/>
        <v>-100</v>
      </c>
      <c r="L171" s="574">
        <f t="shared" si="255"/>
        <v>2</v>
      </c>
      <c r="M171" s="547">
        <f t="shared" si="256"/>
        <v>15</v>
      </c>
      <c r="N171" s="541">
        <f t="shared" si="257"/>
        <v>650</v>
      </c>
      <c r="O171" s="547">
        <v>7</v>
      </c>
      <c r="P171" s="549">
        <v>15</v>
      </c>
      <c r="Q171" s="541">
        <f t="shared" si="244"/>
        <v>114.3</v>
      </c>
      <c r="R171" s="574">
        <f t="shared" si="258"/>
        <v>47</v>
      </c>
      <c r="S171" s="547">
        <f t="shared" si="259"/>
        <v>31</v>
      </c>
      <c r="T171" s="541">
        <f t="shared" si="260"/>
        <v>-34</v>
      </c>
      <c r="U171" s="547">
        <v>54</v>
      </c>
      <c r="V171" s="547">
        <v>46</v>
      </c>
      <c r="W171" s="541">
        <f t="shared" si="248"/>
        <v>-14.8</v>
      </c>
      <c r="X171" s="393">
        <f t="shared" si="249"/>
        <v>0</v>
      </c>
      <c r="Y171" s="547">
        <f t="shared" si="249"/>
        <v>26</v>
      </c>
      <c r="Z171" s="570">
        <v>0</v>
      </c>
      <c r="AA171" s="642">
        <v>54</v>
      </c>
      <c r="AB171" s="642">
        <v>72</v>
      </c>
      <c r="AC171" s="544">
        <f t="shared" si="251"/>
        <v>33.299999999999997</v>
      </c>
      <c r="AD171" s="574">
        <f t="shared" si="252"/>
        <v>5</v>
      </c>
      <c r="AE171" s="574">
        <f t="shared" si="252"/>
        <v>32</v>
      </c>
      <c r="AF171" s="541">
        <f t="shared" si="261"/>
        <v>540</v>
      </c>
      <c r="AG171" s="547">
        <v>59</v>
      </c>
      <c r="AH171" s="547">
        <v>104</v>
      </c>
      <c r="AI171" s="544">
        <f t="shared" si="254"/>
        <v>76.3</v>
      </c>
    </row>
    <row r="172" spans="1:35" s="167" customFormat="1">
      <c r="A172" s="322"/>
      <c r="B172" s="846"/>
      <c r="C172" s="329" t="s">
        <v>355</v>
      </c>
      <c r="D172" s="325">
        <v>184</v>
      </c>
      <c r="E172" s="325">
        <v>252</v>
      </c>
      <c r="F172" s="425">
        <v>290</v>
      </c>
      <c r="G172" s="325">
        <v>253</v>
      </c>
      <c r="H172" s="94">
        <v>99</v>
      </c>
      <c r="I172" s="646">
        <v>0</v>
      </c>
      <c r="J172" s="642">
        <v>77</v>
      </c>
      <c r="K172" s="570">
        <v>0</v>
      </c>
      <c r="L172" s="574">
        <f t="shared" si="255"/>
        <v>19</v>
      </c>
      <c r="M172" s="547">
        <f t="shared" si="256"/>
        <v>0</v>
      </c>
      <c r="N172" s="541">
        <f t="shared" si="257"/>
        <v>-100</v>
      </c>
      <c r="O172" s="547">
        <v>19</v>
      </c>
      <c r="P172" s="549">
        <v>77</v>
      </c>
      <c r="Q172" s="541">
        <f t="shared" si="244"/>
        <v>305.3</v>
      </c>
      <c r="R172" s="574">
        <f t="shared" si="258"/>
        <v>39</v>
      </c>
      <c r="S172" s="547">
        <f t="shared" si="259"/>
        <v>39</v>
      </c>
      <c r="T172" s="541">
        <f t="shared" si="260"/>
        <v>0</v>
      </c>
      <c r="U172" s="547">
        <v>58</v>
      </c>
      <c r="V172" s="547">
        <v>116</v>
      </c>
      <c r="W172" s="541">
        <f t="shared" si="248"/>
        <v>100</v>
      </c>
      <c r="X172" s="393">
        <f t="shared" si="249"/>
        <v>0</v>
      </c>
      <c r="Y172" s="547">
        <f t="shared" si="249"/>
        <v>39</v>
      </c>
      <c r="Z172" s="570">
        <v>0</v>
      </c>
      <c r="AA172" s="642">
        <v>58</v>
      </c>
      <c r="AB172" s="642">
        <v>155</v>
      </c>
      <c r="AC172" s="544">
        <f t="shared" si="251"/>
        <v>167.2</v>
      </c>
      <c r="AD172" s="574">
        <f t="shared" si="252"/>
        <v>20</v>
      </c>
      <c r="AE172" s="574">
        <f t="shared" si="252"/>
        <v>0</v>
      </c>
      <c r="AF172" s="541">
        <f t="shared" si="261"/>
        <v>-100</v>
      </c>
      <c r="AG172" s="547">
        <v>78</v>
      </c>
      <c r="AH172" s="547">
        <v>155</v>
      </c>
      <c r="AI172" s="544">
        <f t="shared" si="254"/>
        <v>98.7</v>
      </c>
    </row>
    <row r="173" spans="1:35" s="167" customFormat="1">
      <c r="A173" s="322"/>
      <c r="B173" s="846"/>
      <c r="C173" s="329" t="s">
        <v>537</v>
      </c>
      <c r="D173" s="325">
        <v>135</v>
      </c>
      <c r="E173" s="325">
        <v>79</v>
      </c>
      <c r="F173" s="425">
        <v>78</v>
      </c>
      <c r="G173" s="325">
        <v>0</v>
      </c>
      <c r="H173" s="94">
        <v>78</v>
      </c>
      <c r="I173" s="646">
        <v>0</v>
      </c>
      <c r="J173" s="642">
        <v>0</v>
      </c>
      <c r="K173" s="570">
        <v>0</v>
      </c>
      <c r="L173" s="574">
        <f t="shared" si="255"/>
        <v>19</v>
      </c>
      <c r="M173" s="547">
        <f t="shared" si="256"/>
        <v>0</v>
      </c>
      <c r="N173" s="541">
        <f t="shared" si="257"/>
        <v>-100</v>
      </c>
      <c r="O173" s="547">
        <v>19</v>
      </c>
      <c r="P173" s="549">
        <v>0</v>
      </c>
      <c r="Q173" s="541">
        <f t="shared" si="244"/>
        <v>-100</v>
      </c>
      <c r="R173" s="574">
        <f t="shared" si="258"/>
        <v>0</v>
      </c>
      <c r="S173" s="547">
        <f t="shared" si="259"/>
        <v>0</v>
      </c>
      <c r="T173" s="570">
        <v>0</v>
      </c>
      <c r="U173" s="547">
        <v>19</v>
      </c>
      <c r="V173" s="547">
        <v>0</v>
      </c>
      <c r="W173" s="541">
        <f t="shared" si="248"/>
        <v>-100</v>
      </c>
      <c r="X173" s="575"/>
      <c r="Y173" s="547">
        <f t="shared" si="249"/>
        <v>0</v>
      </c>
      <c r="Z173" s="570">
        <v>0</v>
      </c>
      <c r="AA173" s="642">
        <v>19</v>
      </c>
      <c r="AB173" s="642">
        <v>0</v>
      </c>
      <c r="AC173" s="544">
        <f t="shared" si="251"/>
        <v>-100</v>
      </c>
      <c r="AD173" s="574">
        <f t="shared" si="252"/>
        <v>20</v>
      </c>
      <c r="AE173" s="574">
        <f t="shared" si="252"/>
        <v>0</v>
      </c>
      <c r="AF173" s="541">
        <f t="shared" si="261"/>
        <v>-100</v>
      </c>
      <c r="AG173" s="547">
        <v>39</v>
      </c>
      <c r="AH173" s="547">
        <v>0</v>
      </c>
      <c r="AI173" s="544">
        <f t="shared" si="254"/>
        <v>-100</v>
      </c>
    </row>
    <row r="174" spans="1:35" s="167" customFormat="1">
      <c r="A174" s="322"/>
      <c r="B174" s="846"/>
      <c r="C174" s="329" t="s">
        <v>513</v>
      </c>
      <c r="D174" s="325">
        <v>66</v>
      </c>
      <c r="E174" s="325">
        <v>54</v>
      </c>
      <c r="F174" s="425">
        <v>82</v>
      </c>
      <c r="G174" s="325">
        <v>22</v>
      </c>
      <c r="H174" s="94">
        <v>70</v>
      </c>
      <c r="I174" s="646">
        <v>0</v>
      </c>
      <c r="J174" s="642">
        <v>0</v>
      </c>
      <c r="K174" s="570">
        <v>0</v>
      </c>
      <c r="L174" s="574">
        <f t="shared" si="255"/>
        <v>0</v>
      </c>
      <c r="M174" s="547">
        <f t="shared" si="256"/>
        <v>0</v>
      </c>
      <c r="N174" s="561">
        <v>0</v>
      </c>
      <c r="O174" s="547">
        <v>0</v>
      </c>
      <c r="P174" s="549">
        <v>0</v>
      </c>
      <c r="Q174" s="561">
        <v>0</v>
      </c>
      <c r="R174" s="574">
        <f t="shared" si="258"/>
        <v>10</v>
      </c>
      <c r="S174" s="547">
        <f t="shared" si="259"/>
        <v>10</v>
      </c>
      <c r="T174" s="541">
        <f t="shared" si="260"/>
        <v>0</v>
      </c>
      <c r="U174" s="547">
        <v>10</v>
      </c>
      <c r="V174" s="547">
        <v>10</v>
      </c>
      <c r="W174" s="541">
        <f t="shared" si="248"/>
        <v>0</v>
      </c>
      <c r="X174" s="575"/>
      <c r="Y174" s="547">
        <f t="shared" si="249"/>
        <v>0</v>
      </c>
      <c r="Z174" s="570">
        <v>0</v>
      </c>
      <c r="AA174" s="642">
        <v>10</v>
      </c>
      <c r="AB174" s="642">
        <v>10</v>
      </c>
      <c r="AC174" s="544">
        <f t="shared" si="251"/>
        <v>0</v>
      </c>
      <c r="AD174" s="574">
        <f t="shared" si="252"/>
        <v>0</v>
      </c>
      <c r="AE174" s="574">
        <f t="shared" si="252"/>
        <v>0</v>
      </c>
      <c r="AF174" s="570">
        <v>0</v>
      </c>
      <c r="AG174" s="547">
        <v>10</v>
      </c>
      <c r="AH174" s="547">
        <v>10</v>
      </c>
      <c r="AI174" s="544">
        <f t="shared" si="254"/>
        <v>0</v>
      </c>
    </row>
    <row r="175" spans="1:35" s="167" customFormat="1">
      <c r="A175" s="322"/>
      <c r="B175" s="846"/>
      <c r="C175" s="329" t="s">
        <v>98</v>
      </c>
      <c r="D175" s="325">
        <v>568</v>
      </c>
      <c r="E175" s="325">
        <v>449</v>
      </c>
      <c r="F175" s="425">
        <v>245</v>
      </c>
      <c r="G175" s="325">
        <v>213</v>
      </c>
      <c r="H175" s="94">
        <v>68</v>
      </c>
      <c r="I175" s="646">
        <v>0</v>
      </c>
      <c r="J175" s="642">
        <v>8</v>
      </c>
      <c r="K175" s="570">
        <v>0</v>
      </c>
      <c r="L175" s="574">
        <f t="shared" si="255"/>
        <v>0</v>
      </c>
      <c r="M175" s="547">
        <f t="shared" si="256"/>
        <v>6</v>
      </c>
      <c r="N175" s="561">
        <v>0</v>
      </c>
      <c r="O175" s="547">
        <v>0</v>
      </c>
      <c r="P175" s="549">
        <v>14</v>
      </c>
      <c r="Q175" s="561">
        <v>0</v>
      </c>
      <c r="R175" s="574">
        <f t="shared" si="258"/>
        <v>15</v>
      </c>
      <c r="S175" s="547">
        <f t="shared" si="259"/>
        <v>10</v>
      </c>
      <c r="T175" s="541">
        <f t="shared" si="260"/>
        <v>-33.299999999999997</v>
      </c>
      <c r="U175" s="547">
        <v>15</v>
      </c>
      <c r="V175" s="547">
        <v>24</v>
      </c>
      <c r="W175" s="541">
        <f t="shared" si="248"/>
        <v>60</v>
      </c>
      <c r="X175" s="393">
        <f>AA175-U175</f>
        <v>24</v>
      </c>
      <c r="Y175" s="547">
        <f t="shared" si="249"/>
        <v>8</v>
      </c>
      <c r="Z175" s="541">
        <f t="shared" si="250"/>
        <v>-66.7</v>
      </c>
      <c r="AA175" s="642">
        <v>39</v>
      </c>
      <c r="AB175" s="642">
        <v>32</v>
      </c>
      <c r="AC175" s="544">
        <f t="shared" si="251"/>
        <v>-17.899999999999999</v>
      </c>
      <c r="AD175" s="574">
        <f t="shared" si="252"/>
        <v>0</v>
      </c>
      <c r="AE175" s="574">
        <f t="shared" si="252"/>
        <v>0</v>
      </c>
      <c r="AF175" s="570">
        <v>0</v>
      </c>
      <c r="AG175" s="547">
        <v>39</v>
      </c>
      <c r="AH175" s="547">
        <v>32</v>
      </c>
      <c r="AI175" s="544">
        <f t="shared" si="254"/>
        <v>-17.899999999999999</v>
      </c>
    </row>
    <row r="176" spans="1:35" s="167" customFormat="1">
      <c r="A176" s="322"/>
      <c r="B176" s="846"/>
      <c r="C176" s="329" t="s">
        <v>51</v>
      </c>
      <c r="D176" s="325">
        <v>1998</v>
      </c>
      <c r="E176" s="325">
        <v>217</v>
      </c>
      <c r="F176" s="425">
        <v>216</v>
      </c>
      <c r="G176" s="325">
        <v>154</v>
      </c>
      <c r="H176" s="94">
        <v>45</v>
      </c>
      <c r="I176" s="646">
        <v>0</v>
      </c>
      <c r="J176" s="642">
        <v>17</v>
      </c>
      <c r="K176" s="570">
        <v>0</v>
      </c>
      <c r="L176" s="574">
        <f t="shared" si="255"/>
        <v>6</v>
      </c>
      <c r="M176" s="547">
        <f t="shared" si="256"/>
        <v>3</v>
      </c>
      <c r="N176" s="541">
        <f t="shared" si="257"/>
        <v>-50</v>
      </c>
      <c r="O176" s="547">
        <v>6</v>
      </c>
      <c r="P176" s="549">
        <v>20</v>
      </c>
      <c r="Q176" s="541">
        <f t="shared" si="244"/>
        <v>233.3</v>
      </c>
      <c r="R176" s="574">
        <f t="shared" si="258"/>
        <v>0</v>
      </c>
      <c r="S176" s="547">
        <f t="shared" si="259"/>
        <v>45</v>
      </c>
      <c r="T176" s="570">
        <v>0</v>
      </c>
      <c r="U176" s="547">
        <v>6</v>
      </c>
      <c r="V176" s="547">
        <v>65</v>
      </c>
      <c r="W176" s="541">
        <f t="shared" si="248"/>
        <v>983.3</v>
      </c>
      <c r="X176" s="393">
        <f>AA176-U176</f>
        <v>0</v>
      </c>
      <c r="Y176" s="547">
        <f t="shared" si="249"/>
        <v>10</v>
      </c>
      <c r="Z176" s="570">
        <v>0</v>
      </c>
      <c r="AA176" s="642">
        <v>6</v>
      </c>
      <c r="AB176" s="642">
        <v>75</v>
      </c>
      <c r="AC176" s="544">
        <f t="shared" si="251"/>
        <v>1150</v>
      </c>
      <c r="AD176" s="574">
        <f t="shared" si="252"/>
        <v>1</v>
      </c>
      <c r="AE176" s="574">
        <f t="shared" si="252"/>
        <v>40</v>
      </c>
      <c r="AF176" s="541">
        <f t="shared" si="261"/>
        <v>3900</v>
      </c>
      <c r="AG176" s="547">
        <v>7</v>
      </c>
      <c r="AH176" s="547">
        <v>115</v>
      </c>
      <c r="AI176" s="330">
        <f>ROUND(((AH176/AG176-1)*100), 1)</f>
        <v>1542.9</v>
      </c>
    </row>
    <row r="177" spans="1:35" s="167" customFormat="1">
      <c r="A177" s="322"/>
      <c r="B177" s="846"/>
      <c r="C177" s="329" t="s">
        <v>99</v>
      </c>
      <c r="D177" s="325">
        <v>126</v>
      </c>
      <c r="E177" s="325">
        <v>383</v>
      </c>
      <c r="F177" s="425">
        <v>397</v>
      </c>
      <c r="G177" s="325">
        <v>121</v>
      </c>
      <c r="H177" s="94">
        <v>21</v>
      </c>
      <c r="I177" s="646">
        <v>3</v>
      </c>
      <c r="J177" s="642">
        <v>0</v>
      </c>
      <c r="K177" s="330">
        <f>ROUND(((J177/I177-1)*100), 1)</f>
        <v>-100</v>
      </c>
      <c r="L177" s="574">
        <f t="shared" si="255"/>
        <v>11</v>
      </c>
      <c r="M177" s="547">
        <f t="shared" si="256"/>
        <v>0</v>
      </c>
      <c r="N177" s="541">
        <f t="shared" si="257"/>
        <v>-100</v>
      </c>
      <c r="O177" s="547">
        <v>14</v>
      </c>
      <c r="P177" s="549">
        <v>0</v>
      </c>
      <c r="Q177" s="330">
        <f>ROUND(((P177/O177-1)*100), 1)</f>
        <v>-100</v>
      </c>
      <c r="R177" s="575">
        <f t="shared" ref="R177:S178" si="262">U177-O177</f>
        <v>0</v>
      </c>
      <c r="S177" s="549">
        <f t="shared" si="262"/>
        <v>0</v>
      </c>
      <c r="T177" s="570">
        <v>0</v>
      </c>
      <c r="U177" s="547">
        <v>14</v>
      </c>
      <c r="V177" s="547">
        <v>0</v>
      </c>
      <c r="W177" s="330">
        <f>ROUND(((V177/U177-1)*100), 1)</f>
        <v>-100</v>
      </c>
      <c r="X177" s="393">
        <f>AA177-U177</f>
        <v>0</v>
      </c>
      <c r="Y177" s="549">
        <f t="shared" si="249"/>
        <v>0</v>
      </c>
      <c r="Z177" s="570">
        <v>0</v>
      </c>
      <c r="AA177" s="642">
        <v>14</v>
      </c>
      <c r="AB177" s="642">
        <v>0</v>
      </c>
      <c r="AC177" s="544">
        <f t="shared" si="251"/>
        <v>-100</v>
      </c>
      <c r="AD177" s="574">
        <f t="shared" si="252"/>
        <v>0</v>
      </c>
      <c r="AE177" s="574">
        <f t="shared" si="252"/>
        <v>7</v>
      </c>
      <c r="AF177" s="570">
        <v>0</v>
      </c>
      <c r="AG177" s="547">
        <v>14</v>
      </c>
      <c r="AH177" s="547">
        <v>7</v>
      </c>
      <c r="AI177" s="330">
        <f>ROUND(((AH177/AG177-1)*100), 1)</f>
        <v>-50</v>
      </c>
    </row>
    <row r="178" spans="1:35" s="167" customFormat="1">
      <c r="A178" s="322"/>
      <c r="B178" s="846"/>
      <c r="C178" s="329" t="s">
        <v>49</v>
      </c>
      <c r="D178" s="325">
        <v>145</v>
      </c>
      <c r="E178" s="325">
        <v>37</v>
      </c>
      <c r="F178" s="425">
        <v>69</v>
      </c>
      <c r="G178" s="325">
        <v>45</v>
      </c>
      <c r="H178" s="94">
        <v>9</v>
      </c>
      <c r="I178" s="646">
        <v>0</v>
      </c>
      <c r="J178" s="642">
        <v>42</v>
      </c>
      <c r="K178" s="570">
        <v>0</v>
      </c>
      <c r="L178" s="393">
        <f>O178-I178</f>
        <v>0</v>
      </c>
      <c r="M178" s="549">
        <f>P178-J178</f>
        <v>0</v>
      </c>
      <c r="N178" s="561">
        <v>0</v>
      </c>
      <c r="O178" s="547">
        <v>0</v>
      </c>
      <c r="P178" s="549">
        <v>42</v>
      </c>
      <c r="Q178" s="561">
        <v>0</v>
      </c>
      <c r="R178" s="575">
        <f t="shared" si="262"/>
        <v>0</v>
      </c>
      <c r="S178" s="549">
        <f t="shared" si="262"/>
        <v>2</v>
      </c>
      <c r="T178" s="570">
        <v>0</v>
      </c>
      <c r="U178" s="547">
        <v>0</v>
      </c>
      <c r="V178" s="547">
        <v>44</v>
      </c>
      <c r="W178" s="570">
        <v>0</v>
      </c>
      <c r="X178" s="393">
        <f>AA178-U178</f>
        <v>0</v>
      </c>
      <c r="Y178" s="549">
        <f t="shared" ref="Y178" si="263">AB178-V178</f>
        <v>0</v>
      </c>
      <c r="Z178" s="570">
        <v>0</v>
      </c>
      <c r="AA178" s="642">
        <v>0</v>
      </c>
      <c r="AB178" s="642">
        <v>44</v>
      </c>
      <c r="AC178" s="570">
        <v>0</v>
      </c>
      <c r="AD178" s="393">
        <f>AG178-AA178</f>
        <v>2</v>
      </c>
      <c r="AE178" s="575">
        <f>AH178-AB178</f>
        <v>0</v>
      </c>
      <c r="AF178" s="541">
        <f t="shared" si="261"/>
        <v>-100</v>
      </c>
      <c r="AG178" s="547">
        <v>2</v>
      </c>
      <c r="AH178" s="547">
        <v>44</v>
      </c>
      <c r="AI178" s="544">
        <f>ROUND(((AH178/AG178-1)*100), 1)</f>
        <v>2100</v>
      </c>
    </row>
    <row r="179" spans="1:35" s="167" customFormat="1">
      <c r="A179" s="322"/>
      <c r="B179" s="846"/>
      <c r="C179" s="329" t="s">
        <v>75</v>
      </c>
      <c r="D179" s="325">
        <f t="shared" ref="D179:J179" si="264">D180-SUM(D162:D178)</f>
        <v>1127</v>
      </c>
      <c r="E179" s="325">
        <f t="shared" si="264"/>
        <v>1008</v>
      </c>
      <c r="F179" s="425">
        <f t="shared" si="264"/>
        <v>790</v>
      </c>
      <c r="G179" s="325">
        <f t="shared" si="264"/>
        <v>529</v>
      </c>
      <c r="H179" s="325">
        <f t="shared" si="264"/>
        <v>403</v>
      </c>
      <c r="I179" s="652">
        <f t="shared" si="264"/>
        <v>31</v>
      </c>
      <c r="J179" s="652">
        <f t="shared" si="264"/>
        <v>51</v>
      </c>
      <c r="K179" s="330">
        <f t="shared" ref="K179:K206" si="265">ROUND(((J179/I179-1)*100), 1)</f>
        <v>64.5</v>
      </c>
      <c r="L179" s="393">
        <f>L180-SUM(L162:L178)</f>
        <v>41</v>
      </c>
      <c r="M179" s="575">
        <f>M180-SUM(M162:M178)</f>
        <v>73</v>
      </c>
      <c r="N179" s="330">
        <f t="shared" ref="N179:N206" si="266">ROUND(((M179/L179-1)*100), 1)</f>
        <v>78</v>
      </c>
      <c r="O179" s="575">
        <f>O180-SUM(O162:O178)</f>
        <v>72</v>
      </c>
      <c r="P179" s="575">
        <f>P180-SUM(P162:P178)</f>
        <v>124</v>
      </c>
      <c r="Q179" s="330">
        <f t="shared" ref="Q179:Q206" si="267">ROUND(((P179/O179-1)*100), 1)</f>
        <v>72.2</v>
      </c>
      <c r="R179" s="575">
        <f>R180-SUM(R162:R178)</f>
        <v>15</v>
      </c>
      <c r="S179" s="575">
        <f>S180-SUM(S162:S178)</f>
        <v>106</v>
      </c>
      <c r="T179" s="330">
        <f t="shared" ref="T179:T206" si="268">ROUND(((S179/R179-1)*100), 1)</f>
        <v>606.70000000000005</v>
      </c>
      <c r="U179" s="575">
        <f>U180-SUM(U162:U178)</f>
        <v>87</v>
      </c>
      <c r="V179" s="575">
        <f>V180-SUM(V162:V178)</f>
        <v>230</v>
      </c>
      <c r="W179" s="330">
        <f t="shared" ref="W179:W206" si="269">ROUND(((V179/U179-1)*100), 1)</f>
        <v>164.4</v>
      </c>
      <c r="X179" s="393">
        <f>X180-SUM(X162:X178)</f>
        <v>46</v>
      </c>
      <c r="Y179" s="575">
        <f>Y180-SUM(Y162:Y178)</f>
        <v>182</v>
      </c>
      <c r="Z179" s="330">
        <f t="shared" ref="Z179:Z206" si="270">ROUND(((Y179/X179-1)*100), 1)</f>
        <v>295.7</v>
      </c>
      <c r="AA179" s="652">
        <f>AA180-SUM(AA162:AA178)</f>
        <v>133</v>
      </c>
      <c r="AB179" s="652">
        <f>AB180-SUM(AB162:AB178)</f>
        <v>412</v>
      </c>
      <c r="AC179" s="330">
        <f t="shared" ref="AC179:AC206" si="271">ROUND(((AB179/AA179-1)*100), 1)</f>
        <v>209.8</v>
      </c>
      <c r="AD179" s="393">
        <f>AD180-SUM(AD162:AD178)</f>
        <v>2</v>
      </c>
      <c r="AE179" s="575">
        <f>AE180-SUM(AE162:AE178)</f>
        <v>213</v>
      </c>
      <c r="AF179" s="330">
        <f t="shared" ref="AF179:AF206" si="272">ROUND(((AE179/AD179-1)*100), 1)</f>
        <v>10550</v>
      </c>
      <c r="AG179" s="575">
        <f>AG180-SUM(AG162:AG178)</f>
        <v>135</v>
      </c>
      <c r="AH179" s="575">
        <f>AH180-SUM(AH162:AH178)</f>
        <v>625</v>
      </c>
      <c r="AI179" s="330">
        <f t="shared" ref="AI179:AI206" si="273">ROUND(((AH179/AG179-1)*100), 1)</f>
        <v>363</v>
      </c>
    </row>
    <row r="180" spans="1:35" s="167" customFormat="1">
      <c r="A180" s="322"/>
      <c r="B180" s="748"/>
      <c r="C180" s="334" t="s">
        <v>213</v>
      </c>
      <c r="D180" s="335">
        <v>16090</v>
      </c>
      <c r="E180" s="335">
        <v>14017</v>
      </c>
      <c r="F180" s="437">
        <v>14590</v>
      </c>
      <c r="G180" s="335">
        <v>17403</v>
      </c>
      <c r="H180" s="435">
        <v>14639</v>
      </c>
      <c r="I180" s="647">
        <v>1164</v>
      </c>
      <c r="J180" s="647">
        <v>1735</v>
      </c>
      <c r="K180" s="336">
        <f t="shared" si="265"/>
        <v>49.1</v>
      </c>
      <c r="L180" s="436">
        <f t="shared" ref="L180:M180" si="274">O180-I180</f>
        <v>1711</v>
      </c>
      <c r="M180" s="557">
        <f t="shared" si="274"/>
        <v>1464</v>
      </c>
      <c r="N180" s="336">
        <f t="shared" si="266"/>
        <v>-14.4</v>
      </c>
      <c r="O180" s="557">
        <v>2875</v>
      </c>
      <c r="P180" s="557">
        <v>3199</v>
      </c>
      <c r="Q180" s="336">
        <f t="shared" si="267"/>
        <v>11.3</v>
      </c>
      <c r="R180" s="562">
        <f t="shared" ref="R180:R197" si="275">U180-O180</f>
        <v>1429</v>
      </c>
      <c r="S180" s="557">
        <f t="shared" ref="S180:S197" si="276">V180-P180</f>
        <v>2630</v>
      </c>
      <c r="T180" s="336">
        <f t="shared" si="268"/>
        <v>84</v>
      </c>
      <c r="U180" s="557">
        <v>4304</v>
      </c>
      <c r="V180" s="557">
        <v>5829</v>
      </c>
      <c r="W180" s="336">
        <f t="shared" si="269"/>
        <v>35.4</v>
      </c>
      <c r="X180" s="436">
        <f t="shared" ref="X180:Y195" si="277">AA180-U180</f>
        <v>1541</v>
      </c>
      <c r="Y180" s="557">
        <f t="shared" si="277"/>
        <v>2129</v>
      </c>
      <c r="Z180" s="336">
        <f t="shared" si="270"/>
        <v>38.200000000000003</v>
      </c>
      <c r="AA180" s="647">
        <v>5845</v>
      </c>
      <c r="AB180" s="647">
        <v>7958</v>
      </c>
      <c r="AC180" s="336">
        <f t="shared" si="271"/>
        <v>36.200000000000003</v>
      </c>
      <c r="AD180" s="436">
        <f t="shared" ref="AD180:AE180" si="278">AG180-AA180</f>
        <v>981</v>
      </c>
      <c r="AE180" s="562">
        <f t="shared" si="278"/>
        <v>1654</v>
      </c>
      <c r="AF180" s="336">
        <f t="shared" si="272"/>
        <v>68.599999999999994</v>
      </c>
      <c r="AG180" s="557">
        <v>6826</v>
      </c>
      <c r="AH180" s="557">
        <v>9612</v>
      </c>
      <c r="AI180" s="336">
        <f t="shared" si="273"/>
        <v>40.799999999999997</v>
      </c>
    </row>
    <row r="181" spans="1:35" s="167" customFormat="1">
      <c r="A181" s="322"/>
      <c r="B181" s="737" t="s">
        <v>214</v>
      </c>
      <c r="C181" s="337" t="s">
        <v>91</v>
      </c>
      <c r="D181" s="325">
        <v>124698</v>
      </c>
      <c r="E181" s="325">
        <v>124790</v>
      </c>
      <c r="F181" s="340">
        <v>136217</v>
      </c>
      <c r="G181" s="325">
        <v>133931</v>
      </c>
      <c r="H181" s="325">
        <v>124253</v>
      </c>
      <c r="I181" s="646">
        <v>12009</v>
      </c>
      <c r="J181" s="646">
        <v>10444</v>
      </c>
      <c r="K181" s="330">
        <f t="shared" ref="K181:K201" si="279">ROUND(((J181/I181-1)*100), 1)</f>
        <v>-13</v>
      </c>
      <c r="L181" s="393">
        <f t="shared" ref="L181:M199" si="280">O181-I181</f>
        <v>11786</v>
      </c>
      <c r="M181" s="549">
        <f t="shared" si="280"/>
        <v>7456</v>
      </c>
      <c r="N181" s="330">
        <f t="shared" ref="N181:N199" si="281">ROUND(((M181/L181-1)*100), 1)</f>
        <v>-36.700000000000003</v>
      </c>
      <c r="O181" s="549">
        <v>23795</v>
      </c>
      <c r="P181" s="549">
        <v>17900</v>
      </c>
      <c r="Q181" s="330">
        <f t="shared" ref="Q181:Q201" si="282">ROUND(((P181/O181-1)*100), 1)</f>
        <v>-24.8</v>
      </c>
      <c r="R181" s="575">
        <f t="shared" si="275"/>
        <v>11447</v>
      </c>
      <c r="S181" s="549">
        <f t="shared" si="276"/>
        <v>8657</v>
      </c>
      <c r="T181" s="330">
        <f t="shared" ref="T181:T197" si="283">ROUND(((S181/R181-1)*100), 1)</f>
        <v>-24.4</v>
      </c>
      <c r="U181" s="549">
        <v>35242</v>
      </c>
      <c r="V181" s="549">
        <v>26557</v>
      </c>
      <c r="W181" s="330">
        <f t="shared" ref="W181:W202" si="284">ROUND(((V181/U181-1)*100), 1)</f>
        <v>-24.6</v>
      </c>
      <c r="X181" s="393">
        <f t="shared" ref="X181:X195" si="285">AA181-U181</f>
        <v>10364</v>
      </c>
      <c r="Y181" s="549">
        <f t="shared" si="277"/>
        <v>6671</v>
      </c>
      <c r="Z181" s="330">
        <f t="shared" ref="Z181:Z195" si="286">ROUND(((Y181/X181-1)*100), 1)</f>
        <v>-35.6</v>
      </c>
      <c r="AA181" s="646">
        <v>45606</v>
      </c>
      <c r="AB181" s="646">
        <v>33228</v>
      </c>
      <c r="AC181" s="330">
        <f t="shared" ref="AC181:AC201" si="287">ROUND(((AB181/AA181-1)*100), 1)</f>
        <v>-27.1</v>
      </c>
      <c r="AD181" s="393">
        <f t="shared" ref="AD181:AE196" si="288">AG181-AA181</f>
        <v>5704</v>
      </c>
      <c r="AE181" s="575">
        <f t="shared" si="288"/>
        <v>6860</v>
      </c>
      <c r="AF181" s="330">
        <f t="shared" ref="AF181:AF196" si="289">ROUND(((AE181/AD181-1)*100), 1)</f>
        <v>20.3</v>
      </c>
      <c r="AG181" s="549">
        <v>51310</v>
      </c>
      <c r="AH181" s="549">
        <v>40088</v>
      </c>
      <c r="AI181" s="330">
        <f t="shared" ref="AI181:AI201" si="290">ROUND(((AH181/AG181-1)*100), 1)</f>
        <v>-21.9</v>
      </c>
    </row>
    <row r="182" spans="1:35" s="167" customFormat="1">
      <c r="A182" s="322"/>
      <c r="B182" s="846"/>
      <c r="C182" s="329" t="s">
        <v>89</v>
      </c>
      <c r="D182" s="325">
        <v>60549</v>
      </c>
      <c r="E182" s="325">
        <v>70433</v>
      </c>
      <c r="F182" s="340">
        <v>79826</v>
      </c>
      <c r="G182" s="325">
        <v>73705</v>
      </c>
      <c r="H182" s="325">
        <v>117828</v>
      </c>
      <c r="I182" s="646">
        <v>9098</v>
      </c>
      <c r="J182" s="646">
        <v>9709</v>
      </c>
      <c r="K182" s="330">
        <f t="shared" si="279"/>
        <v>6.7</v>
      </c>
      <c r="L182" s="393">
        <f t="shared" si="280"/>
        <v>6284</v>
      </c>
      <c r="M182" s="549">
        <f t="shared" si="280"/>
        <v>8668</v>
      </c>
      <c r="N182" s="330">
        <f t="shared" si="281"/>
        <v>37.9</v>
      </c>
      <c r="O182" s="549">
        <v>15382</v>
      </c>
      <c r="P182" s="549">
        <v>18377</v>
      </c>
      <c r="Q182" s="330">
        <f t="shared" si="282"/>
        <v>19.5</v>
      </c>
      <c r="R182" s="575">
        <f t="shared" si="275"/>
        <v>7777</v>
      </c>
      <c r="S182" s="549">
        <f t="shared" si="276"/>
        <v>11114</v>
      </c>
      <c r="T182" s="330">
        <f t="shared" si="283"/>
        <v>42.9</v>
      </c>
      <c r="U182" s="549">
        <v>23159</v>
      </c>
      <c r="V182" s="549">
        <v>29491</v>
      </c>
      <c r="W182" s="330">
        <f t="shared" si="284"/>
        <v>27.3</v>
      </c>
      <c r="X182" s="393">
        <f t="shared" si="285"/>
        <v>8680</v>
      </c>
      <c r="Y182" s="549">
        <f t="shared" si="277"/>
        <v>14260</v>
      </c>
      <c r="Z182" s="330">
        <f t="shared" si="286"/>
        <v>64.3</v>
      </c>
      <c r="AA182" s="646">
        <v>31839</v>
      </c>
      <c r="AB182" s="646">
        <v>43751</v>
      </c>
      <c r="AC182" s="330">
        <f t="shared" si="287"/>
        <v>37.4</v>
      </c>
      <c r="AD182" s="393">
        <f t="shared" si="288"/>
        <v>10567</v>
      </c>
      <c r="AE182" s="575">
        <f t="shared" si="288"/>
        <v>15122</v>
      </c>
      <c r="AF182" s="330">
        <f t="shared" si="289"/>
        <v>43.1</v>
      </c>
      <c r="AG182" s="549">
        <v>42406</v>
      </c>
      <c r="AH182" s="549">
        <v>58873</v>
      </c>
      <c r="AI182" s="330">
        <f t="shared" si="290"/>
        <v>38.799999999999997</v>
      </c>
    </row>
    <row r="183" spans="1:35" s="167" customFormat="1">
      <c r="A183" s="322"/>
      <c r="B183" s="846"/>
      <c r="C183" s="329" t="s">
        <v>105</v>
      </c>
      <c r="D183" s="325">
        <v>28859</v>
      </c>
      <c r="E183" s="325">
        <v>36438</v>
      </c>
      <c r="F183" s="340">
        <v>34870</v>
      </c>
      <c r="G183" s="325">
        <v>37264</v>
      </c>
      <c r="H183" s="325">
        <v>38271</v>
      </c>
      <c r="I183" s="646">
        <v>3721</v>
      </c>
      <c r="J183" s="646">
        <v>3282</v>
      </c>
      <c r="K183" s="330">
        <f t="shared" si="279"/>
        <v>-11.8</v>
      </c>
      <c r="L183" s="393">
        <f t="shared" si="280"/>
        <v>3093</v>
      </c>
      <c r="M183" s="549">
        <f t="shared" si="280"/>
        <v>2758</v>
      </c>
      <c r="N183" s="330">
        <f t="shared" si="281"/>
        <v>-10.8</v>
      </c>
      <c r="O183" s="549">
        <v>6814</v>
      </c>
      <c r="P183" s="549">
        <v>6040</v>
      </c>
      <c r="Q183" s="330">
        <f t="shared" si="282"/>
        <v>-11.4</v>
      </c>
      <c r="R183" s="575">
        <f t="shared" si="275"/>
        <v>4025</v>
      </c>
      <c r="S183" s="549">
        <f t="shared" si="276"/>
        <v>2955</v>
      </c>
      <c r="T183" s="330">
        <f t="shared" si="283"/>
        <v>-26.6</v>
      </c>
      <c r="U183" s="549">
        <v>10839</v>
      </c>
      <c r="V183" s="549">
        <v>8995</v>
      </c>
      <c r="W183" s="330">
        <f t="shared" si="284"/>
        <v>-17</v>
      </c>
      <c r="X183" s="393">
        <f t="shared" si="285"/>
        <v>3047</v>
      </c>
      <c r="Y183" s="549">
        <f t="shared" si="277"/>
        <v>1803</v>
      </c>
      <c r="Z183" s="330">
        <f t="shared" si="286"/>
        <v>-40.799999999999997</v>
      </c>
      <c r="AA183" s="646">
        <v>13886</v>
      </c>
      <c r="AB183" s="646">
        <v>10798</v>
      </c>
      <c r="AC183" s="330">
        <f t="shared" si="287"/>
        <v>-22.2</v>
      </c>
      <c r="AD183" s="393">
        <f t="shared" si="288"/>
        <v>3691</v>
      </c>
      <c r="AE183" s="575">
        <f t="shared" si="288"/>
        <v>1883</v>
      </c>
      <c r="AF183" s="330">
        <f t="shared" si="289"/>
        <v>-49</v>
      </c>
      <c r="AG183" s="549">
        <v>17577</v>
      </c>
      <c r="AH183" s="549">
        <v>12681</v>
      </c>
      <c r="AI183" s="330">
        <f t="shared" si="290"/>
        <v>-27.9</v>
      </c>
    </row>
    <row r="184" spans="1:35" s="167" customFormat="1">
      <c r="A184" s="322"/>
      <c r="B184" s="846"/>
      <c r="C184" s="329" t="s">
        <v>125</v>
      </c>
      <c r="D184" s="325">
        <v>320</v>
      </c>
      <c r="E184" s="325">
        <v>9649</v>
      </c>
      <c r="F184" s="340">
        <v>19825</v>
      </c>
      <c r="G184" s="325">
        <v>36998</v>
      </c>
      <c r="H184" s="325">
        <v>34604</v>
      </c>
      <c r="I184" s="646">
        <v>2709</v>
      </c>
      <c r="J184" s="646">
        <v>2916</v>
      </c>
      <c r="K184" s="330">
        <f t="shared" si="279"/>
        <v>7.6</v>
      </c>
      <c r="L184" s="393">
        <f t="shared" si="280"/>
        <v>2765</v>
      </c>
      <c r="M184" s="549">
        <f t="shared" si="280"/>
        <v>2313</v>
      </c>
      <c r="N184" s="330">
        <f t="shared" si="281"/>
        <v>-16.3</v>
      </c>
      <c r="O184" s="549">
        <v>5474</v>
      </c>
      <c r="P184" s="549">
        <v>5229</v>
      </c>
      <c r="Q184" s="330">
        <f t="shared" si="282"/>
        <v>-4.5</v>
      </c>
      <c r="R184" s="575">
        <f t="shared" si="275"/>
        <v>3198</v>
      </c>
      <c r="S184" s="549">
        <f t="shared" si="276"/>
        <v>4254</v>
      </c>
      <c r="T184" s="330">
        <f t="shared" si="283"/>
        <v>33</v>
      </c>
      <c r="U184" s="549">
        <v>8672</v>
      </c>
      <c r="V184" s="549">
        <v>9483</v>
      </c>
      <c r="W184" s="330">
        <f t="shared" si="284"/>
        <v>9.4</v>
      </c>
      <c r="X184" s="393">
        <f t="shared" si="285"/>
        <v>2965</v>
      </c>
      <c r="Y184" s="549">
        <f t="shared" si="277"/>
        <v>4012</v>
      </c>
      <c r="Z184" s="330">
        <f t="shared" si="286"/>
        <v>35.299999999999997</v>
      </c>
      <c r="AA184" s="646">
        <v>11637</v>
      </c>
      <c r="AB184" s="646">
        <v>13495</v>
      </c>
      <c r="AC184" s="330">
        <f t="shared" si="287"/>
        <v>16</v>
      </c>
      <c r="AD184" s="393">
        <f t="shared" si="288"/>
        <v>3070</v>
      </c>
      <c r="AE184" s="575">
        <f t="shared" si="288"/>
        <v>4200</v>
      </c>
      <c r="AF184" s="330">
        <f t="shared" si="289"/>
        <v>36.799999999999997</v>
      </c>
      <c r="AG184" s="549">
        <v>14707</v>
      </c>
      <c r="AH184" s="549">
        <v>17695</v>
      </c>
      <c r="AI184" s="330">
        <f t="shared" si="290"/>
        <v>20.3</v>
      </c>
    </row>
    <row r="185" spans="1:35" s="167" customFormat="1">
      <c r="A185" s="322"/>
      <c r="B185" s="846"/>
      <c r="C185" s="329" t="s">
        <v>321</v>
      </c>
      <c r="D185" s="325">
        <v>0</v>
      </c>
      <c r="E185" s="325">
        <v>0</v>
      </c>
      <c r="F185" s="340">
        <v>3235</v>
      </c>
      <c r="G185" s="325">
        <v>18339</v>
      </c>
      <c r="H185" s="325">
        <v>30125</v>
      </c>
      <c r="I185" s="646">
        <v>1330</v>
      </c>
      <c r="J185" s="646">
        <v>2534</v>
      </c>
      <c r="K185" s="330">
        <f t="shared" si="279"/>
        <v>90.5</v>
      </c>
      <c r="L185" s="393">
        <f t="shared" si="280"/>
        <v>2032</v>
      </c>
      <c r="M185" s="549">
        <f t="shared" si="280"/>
        <v>0</v>
      </c>
      <c r="N185" s="330">
        <f t="shared" si="281"/>
        <v>-100</v>
      </c>
      <c r="O185" s="549">
        <v>3362</v>
      </c>
      <c r="P185" s="549">
        <v>2534</v>
      </c>
      <c r="Q185" s="330">
        <f t="shared" si="282"/>
        <v>-24.6</v>
      </c>
      <c r="R185" s="575">
        <f t="shared" si="275"/>
        <v>2064</v>
      </c>
      <c r="S185" s="549">
        <f t="shared" si="276"/>
        <v>2359</v>
      </c>
      <c r="T185" s="330">
        <f t="shared" si="283"/>
        <v>14.3</v>
      </c>
      <c r="U185" s="549">
        <v>5426</v>
      </c>
      <c r="V185" s="549">
        <v>4893</v>
      </c>
      <c r="W185" s="330">
        <f t="shared" si="284"/>
        <v>-9.8000000000000007</v>
      </c>
      <c r="X185" s="393">
        <f t="shared" si="285"/>
        <v>1693</v>
      </c>
      <c r="Y185" s="549">
        <f t="shared" si="277"/>
        <v>2123</v>
      </c>
      <c r="Z185" s="330">
        <f t="shared" si="286"/>
        <v>25.4</v>
      </c>
      <c r="AA185" s="646">
        <v>7119</v>
      </c>
      <c r="AB185" s="646">
        <v>7016</v>
      </c>
      <c r="AC185" s="330">
        <f t="shared" si="287"/>
        <v>-1.4</v>
      </c>
      <c r="AD185" s="393">
        <f t="shared" si="288"/>
        <v>3652</v>
      </c>
      <c r="AE185" s="575">
        <f t="shared" si="288"/>
        <v>3156</v>
      </c>
      <c r="AF185" s="330">
        <f t="shared" si="289"/>
        <v>-13.6</v>
      </c>
      <c r="AG185" s="549">
        <v>10771</v>
      </c>
      <c r="AH185" s="549">
        <v>10172</v>
      </c>
      <c r="AI185" s="330">
        <f t="shared" si="290"/>
        <v>-5.6</v>
      </c>
    </row>
    <row r="186" spans="1:35" s="167" customFormat="1">
      <c r="A186" s="322"/>
      <c r="B186" s="846"/>
      <c r="C186" s="329" t="s">
        <v>45</v>
      </c>
      <c r="D186" s="325">
        <v>18826</v>
      </c>
      <c r="E186" s="325">
        <v>21711</v>
      </c>
      <c r="F186" s="340">
        <v>30413</v>
      </c>
      <c r="G186" s="325">
        <v>24830</v>
      </c>
      <c r="H186" s="325">
        <v>29277</v>
      </c>
      <c r="I186" s="646">
        <v>2229</v>
      </c>
      <c r="J186" s="646">
        <v>4665</v>
      </c>
      <c r="K186" s="330">
        <f t="shared" si="279"/>
        <v>109.3</v>
      </c>
      <c r="L186" s="393">
        <f t="shared" si="280"/>
        <v>3987</v>
      </c>
      <c r="M186" s="549">
        <f t="shared" si="280"/>
        <v>4508</v>
      </c>
      <c r="N186" s="330">
        <f t="shared" si="281"/>
        <v>13.1</v>
      </c>
      <c r="O186" s="549">
        <v>6216</v>
      </c>
      <c r="P186" s="549">
        <v>9173</v>
      </c>
      <c r="Q186" s="330">
        <f t="shared" si="282"/>
        <v>47.6</v>
      </c>
      <c r="R186" s="575">
        <f t="shared" si="275"/>
        <v>5009</v>
      </c>
      <c r="S186" s="549">
        <f t="shared" si="276"/>
        <v>3885</v>
      </c>
      <c r="T186" s="330">
        <f t="shared" si="283"/>
        <v>-22.4</v>
      </c>
      <c r="U186" s="549">
        <v>11225</v>
      </c>
      <c r="V186" s="549">
        <v>13058</v>
      </c>
      <c r="W186" s="330">
        <f t="shared" si="284"/>
        <v>16.3</v>
      </c>
      <c r="X186" s="393">
        <f t="shared" si="285"/>
        <v>3481</v>
      </c>
      <c r="Y186" s="549">
        <f t="shared" si="277"/>
        <v>4622</v>
      </c>
      <c r="Z186" s="330">
        <f t="shared" si="286"/>
        <v>32.799999999999997</v>
      </c>
      <c r="AA186" s="646">
        <v>14706</v>
      </c>
      <c r="AB186" s="646">
        <v>17680</v>
      </c>
      <c r="AC186" s="330">
        <f t="shared" si="287"/>
        <v>20.2</v>
      </c>
      <c r="AD186" s="393">
        <f t="shared" si="288"/>
        <v>125</v>
      </c>
      <c r="AE186" s="575">
        <f t="shared" si="288"/>
        <v>3133</v>
      </c>
      <c r="AF186" s="330">
        <f t="shared" si="289"/>
        <v>2406.4</v>
      </c>
      <c r="AG186" s="549">
        <v>14831</v>
      </c>
      <c r="AH186" s="549">
        <v>20813</v>
      </c>
      <c r="AI186" s="330">
        <f t="shared" si="290"/>
        <v>40.299999999999997</v>
      </c>
    </row>
    <row r="187" spans="1:35" s="167" customFormat="1">
      <c r="A187" s="322"/>
      <c r="B187" s="846"/>
      <c r="C187" s="329" t="s">
        <v>106</v>
      </c>
      <c r="D187" s="325">
        <v>10316</v>
      </c>
      <c r="E187" s="325">
        <v>11439</v>
      </c>
      <c r="F187" s="340">
        <v>21961</v>
      </c>
      <c r="G187" s="325">
        <v>40643</v>
      </c>
      <c r="H187" s="325">
        <v>24668</v>
      </c>
      <c r="I187" s="646">
        <v>2660</v>
      </c>
      <c r="J187" s="646">
        <v>1538</v>
      </c>
      <c r="K187" s="330">
        <f t="shared" si="279"/>
        <v>-42.2</v>
      </c>
      <c r="L187" s="393">
        <f t="shared" si="280"/>
        <v>3518</v>
      </c>
      <c r="M187" s="549">
        <f t="shared" si="280"/>
        <v>2992</v>
      </c>
      <c r="N187" s="330">
        <f t="shared" si="281"/>
        <v>-15</v>
      </c>
      <c r="O187" s="549">
        <v>6178</v>
      </c>
      <c r="P187" s="549">
        <v>4530</v>
      </c>
      <c r="Q187" s="330">
        <f t="shared" si="282"/>
        <v>-26.7</v>
      </c>
      <c r="R187" s="575">
        <f t="shared" si="275"/>
        <v>2924</v>
      </c>
      <c r="S187" s="549">
        <f t="shared" si="276"/>
        <v>2373</v>
      </c>
      <c r="T187" s="330">
        <f t="shared" si="283"/>
        <v>-18.8</v>
      </c>
      <c r="U187" s="549">
        <v>9102</v>
      </c>
      <c r="V187" s="549">
        <v>6903</v>
      </c>
      <c r="W187" s="330">
        <f t="shared" si="284"/>
        <v>-24.2</v>
      </c>
      <c r="X187" s="393">
        <f t="shared" si="285"/>
        <v>3019</v>
      </c>
      <c r="Y187" s="549">
        <f t="shared" si="277"/>
        <v>4517</v>
      </c>
      <c r="Z187" s="330">
        <f t="shared" si="286"/>
        <v>49.6</v>
      </c>
      <c r="AA187" s="646">
        <v>12121</v>
      </c>
      <c r="AB187" s="646">
        <v>11420</v>
      </c>
      <c r="AC187" s="330">
        <f t="shared" si="287"/>
        <v>-5.8</v>
      </c>
      <c r="AD187" s="393">
        <f t="shared" si="288"/>
        <v>2170</v>
      </c>
      <c r="AE187" s="575">
        <f t="shared" si="288"/>
        <v>2427</v>
      </c>
      <c r="AF187" s="330">
        <f t="shared" si="289"/>
        <v>11.8</v>
      </c>
      <c r="AG187" s="549">
        <v>14291</v>
      </c>
      <c r="AH187" s="549">
        <v>13847</v>
      </c>
      <c r="AI187" s="330">
        <f t="shared" si="290"/>
        <v>-3.1</v>
      </c>
    </row>
    <row r="188" spans="1:35" s="167" customFormat="1">
      <c r="A188" s="322"/>
      <c r="B188" s="846"/>
      <c r="C188" s="329" t="s">
        <v>100</v>
      </c>
      <c r="D188" s="325">
        <v>19645</v>
      </c>
      <c r="E188" s="325">
        <v>21838</v>
      </c>
      <c r="F188" s="340">
        <v>24197</v>
      </c>
      <c r="G188" s="325">
        <v>23495</v>
      </c>
      <c r="H188" s="325">
        <v>23490</v>
      </c>
      <c r="I188" s="646">
        <v>1839</v>
      </c>
      <c r="J188" s="646">
        <v>831</v>
      </c>
      <c r="K188" s="330">
        <f t="shared" si="279"/>
        <v>-54.8</v>
      </c>
      <c r="L188" s="393">
        <f t="shared" si="280"/>
        <v>2158</v>
      </c>
      <c r="M188" s="549">
        <f t="shared" si="280"/>
        <v>912</v>
      </c>
      <c r="N188" s="330">
        <f t="shared" si="281"/>
        <v>-57.7</v>
      </c>
      <c r="O188" s="549">
        <v>3997</v>
      </c>
      <c r="P188" s="549">
        <v>1743</v>
      </c>
      <c r="Q188" s="330">
        <f t="shared" si="282"/>
        <v>-56.4</v>
      </c>
      <c r="R188" s="575">
        <f t="shared" si="275"/>
        <v>1706</v>
      </c>
      <c r="S188" s="549">
        <f t="shared" si="276"/>
        <v>2109</v>
      </c>
      <c r="T188" s="330">
        <f t="shared" si="283"/>
        <v>23.6</v>
      </c>
      <c r="U188" s="549">
        <v>5703</v>
      </c>
      <c r="V188" s="549">
        <v>3852</v>
      </c>
      <c r="W188" s="330">
        <f t="shared" si="284"/>
        <v>-32.5</v>
      </c>
      <c r="X188" s="393">
        <f t="shared" si="285"/>
        <v>1968</v>
      </c>
      <c r="Y188" s="549">
        <f t="shared" si="277"/>
        <v>2565</v>
      </c>
      <c r="Z188" s="330">
        <f t="shared" si="286"/>
        <v>30.3</v>
      </c>
      <c r="AA188" s="646">
        <v>7671</v>
      </c>
      <c r="AB188" s="646">
        <v>6417</v>
      </c>
      <c r="AC188" s="330">
        <f t="shared" si="287"/>
        <v>-16.3</v>
      </c>
      <c r="AD188" s="393">
        <f t="shared" si="288"/>
        <v>1330</v>
      </c>
      <c r="AE188" s="575">
        <f t="shared" si="288"/>
        <v>2063</v>
      </c>
      <c r="AF188" s="330">
        <f t="shared" si="289"/>
        <v>55.1</v>
      </c>
      <c r="AG188" s="549">
        <v>9001</v>
      </c>
      <c r="AH188" s="549">
        <v>8480</v>
      </c>
      <c r="AI188" s="330">
        <f t="shared" si="290"/>
        <v>-5.8</v>
      </c>
    </row>
    <row r="189" spans="1:35" s="167" customFormat="1">
      <c r="A189" s="322"/>
      <c r="B189" s="846"/>
      <c r="C189" s="329" t="s">
        <v>306</v>
      </c>
      <c r="D189" s="325">
        <v>129</v>
      </c>
      <c r="E189" s="325">
        <v>1144</v>
      </c>
      <c r="F189" s="340">
        <v>7240</v>
      </c>
      <c r="G189" s="325">
        <v>18957</v>
      </c>
      <c r="H189" s="325">
        <v>22495</v>
      </c>
      <c r="I189" s="646">
        <v>1465</v>
      </c>
      <c r="J189" s="646">
        <v>327</v>
      </c>
      <c r="K189" s="330">
        <f t="shared" si="279"/>
        <v>-77.7</v>
      </c>
      <c r="L189" s="393">
        <f t="shared" si="280"/>
        <v>1896</v>
      </c>
      <c r="M189" s="549">
        <f t="shared" si="280"/>
        <v>1238</v>
      </c>
      <c r="N189" s="330">
        <f t="shared" si="281"/>
        <v>-34.700000000000003</v>
      </c>
      <c r="O189" s="549">
        <v>3361</v>
      </c>
      <c r="P189" s="549">
        <v>1565</v>
      </c>
      <c r="Q189" s="330">
        <f t="shared" si="282"/>
        <v>-53.4</v>
      </c>
      <c r="R189" s="575">
        <f t="shared" si="275"/>
        <v>2031</v>
      </c>
      <c r="S189" s="549">
        <f t="shared" si="276"/>
        <v>2407</v>
      </c>
      <c r="T189" s="330">
        <f t="shared" si="283"/>
        <v>18.5</v>
      </c>
      <c r="U189" s="549">
        <v>5392</v>
      </c>
      <c r="V189" s="549">
        <v>3972</v>
      </c>
      <c r="W189" s="330">
        <f t="shared" si="284"/>
        <v>-26.3</v>
      </c>
      <c r="X189" s="393">
        <f t="shared" si="285"/>
        <v>2134</v>
      </c>
      <c r="Y189" s="549">
        <f t="shared" si="277"/>
        <v>3203</v>
      </c>
      <c r="Z189" s="330">
        <f t="shared" si="286"/>
        <v>50.1</v>
      </c>
      <c r="AA189" s="646">
        <v>7526</v>
      </c>
      <c r="AB189" s="646">
        <v>7175</v>
      </c>
      <c r="AC189" s="330">
        <f t="shared" si="287"/>
        <v>-4.7</v>
      </c>
      <c r="AD189" s="393">
        <f t="shared" si="288"/>
        <v>1711</v>
      </c>
      <c r="AE189" s="575">
        <f t="shared" si="288"/>
        <v>2963</v>
      </c>
      <c r="AF189" s="330">
        <f t="shared" si="289"/>
        <v>73.2</v>
      </c>
      <c r="AG189" s="549">
        <v>9237</v>
      </c>
      <c r="AH189" s="549">
        <v>10138</v>
      </c>
      <c r="AI189" s="330">
        <f t="shared" si="290"/>
        <v>9.8000000000000007</v>
      </c>
    </row>
    <row r="190" spans="1:35" s="167" customFormat="1">
      <c r="A190" s="322"/>
      <c r="B190" s="846"/>
      <c r="C190" s="329" t="s">
        <v>209</v>
      </c>
      <c r="D190" s="325">
        <v>29931</v>
      </c>
      <c r="E190" s="325">
        <v>29240</v>
      </c>
      <c r="F190" s="340">
        <v>11996</v>
      </c>
      <c r="G190" s="325">
        <v>14247</v>
      </c>
      <c r="H190" s="325">
        <v>20525</v>
      </c>
      <c r="I190" s="646">
        <v>854</v>
      </c>
      <c r="J190" s="646">
        <v>750</v>
      </c>
      <c r="K190" s="330">
        <f t="shared" si="279"/>
        <v>-12.2</v>
      </c>
      <c r="L190" s="393">
        <f t="shared" si="280"/>
        <v>1373</v>
      </c>
      <c r="M190" s="549">
        <f t="shared" si="280"/>
        <v>600</v>
      </c>
      <c r="N190" s="330">
        <f t="shared" si="281"/>
        <v>-56.3</v>
      </c>
      <c r="O190" s="549">
        <v>2227</v>
      </c>
      <c r="P190" s="549">
        <v>1350</v>
      </c>
      <c r="Q190" s="330">
        <f t="shared" si="282"/>
        <v>-39.4</v>
      </c>
      <c r="R190" s="575">
        <f t="shared" si="275"/>
        <v>1283</v>
      </c>
      <c r="S190" s="549">
        <f t="shared" si="276"/>
        <v>564</v>
      </c>
      <c r="T190" s="330">
        <f t="shared" si="283"/>
        <v>-56</v>
      </c>
      <c r="U190" s="549">
        <v>3510</v>
      </c>
      <c r="V190" s="549">
        <v>1914</v>
      </c>
      <c r="W190" s="330">
        <f t="shared" si="284"/>
        <v>-45.5</v>
      </c>
      <c r="X190" s="393">
        <f t="shared" si="285"/>
        <v>1185</v>
      </c>
      <c r="Y190" s="549">
        <f t="shared" si="277"/>
        <v>196</v>
      </c>
      <c r="Z190" s="330">
        <f t="shared" si="286"/>
        <v>-83.5</v>
      </c>
      <c r="AA190" s="646">
        <v>4695</v>
      </c>
      <c r="AB190" s="646">
        <v>2110</v>
      </c>
      <c r="AC190" s="330">
        <f t="shared" si="287"/>
        <v>-55.1</v>
      </c>
      <c r="AD190" s="393">
        <f t="shared" si="288"/>
        <v>1289</v>
      </c>
      <c r="AE190" s="575">
        <f t="shared" si="288"/>
        <v>250</v>
      </c>
      <c r="AF190" s="330">
        <f t="shared" si="289"/>
        <v>-80.599999999999994</v>
      </c>
      <c r="AG190" s="549">
        <v>5984</v>
      </c>
      <c r="AH190" s="549">
        <v>2360</v>
      </c>
      <c r="AI190" s="330">
        <f t="shared" si="290"/>
        <v>-60.6</v>
      </c>
    </row>
    <row r="191" spans="1:35" s="167" customFormat="1">
      <c r="A191" s="322"/>
      <c r="B191" s="846"/>
      <c r="C191" s="329" t="s">
        <v>94</v>
      </c>
      <c r="D191" s="325">
        <v>41269</v>
      </c>
      <c r="E191" s="325">
        <v>37044</v>
      </c>
      <c r="F191" s="340">
        <v>26956</v>
      </c>
      <c r="G191" s="325">
        <v>32603</v>
      </c>
      <c r="H191" s="325">
        <v>20313</v>
      </c>
      <c r="I191" s="646">
        <v>3524</v>
      </c>
      <c r="J191" s="646">
        <v>1926</v>
      </c>
      <c r="K191" s="330">
        <f t="shared" si="279"/>
        <v>-45.3</v>
      </c>
      <c r="L191" s="393">
        <f t="shared" si="280"/>
        <v>715</v>
      </c>
      <c r="M191" s="549">
        <f t="shared" si="280"/>
        <v>1480</v>
      </c>
      <c r="N191" s="330">
        <f t="shared" si="281"/>
        <v>107</v>
      </c>
      <c r="O191" s="549">
        <v>4239</v>
      </c>
      <c r="P191" s="549">
        <v>3406</v>
      </c>
      <c r="Q191" s="330">
        <f t="shared" si="282"/>
        <v>-19.7</v>
      </c>
      <c r="R191" s="575">
        <f t="shared" si="275"/>
        <v>3286</v>
      </c>
      <c r="S191" s="549">
        <f t="shared" si="276"/>
        <v>1627</v>
      </c>
      <c r="T191" s="330">
        <f t="shared" si="283"/>
        <v>-50.5</v>
      </c>
      <c r="U191" s="549">
        <v>7525</v>
      </c>
      <c r="V191" s="549">
        <v>5033</v>
      </c>
      <c r="W191" s="330">
        <f t="shared" si="284"/>
        <v>-33.1</v>
      </c>
      <c r="X191" s="393">
        <f t="shared" si="285"/>
        <v>1477</v>
      </c>
      <c r="Y191" s="549">
        <f t="shared" si="277"/>
        <v>1526</v>
      </c>
      <c r="Z191" s="330">
        <f t="shared" si="286"/>
        <v>3.3</v>
      </c>
      <c r="AA191" s="646">
        <v>9002</v>
      </c>
      <c r="AB191" s="646">
        <v>6559</v>
      </c>
      <c r="AC191" s="330">
        <f t="shared" si="287"/>
        <v>-27.1</v>
      </c>
      <c r="AD191" s="393">
        <f t="shared" si="288"/>
        <v>1902</v>
      </c>
      <c r="AE191" s="575">
        <f t="shared" si="288"/>
        <v>1772</v>
      </c>
      <c r="AF191" s="330">
        <f t="shared" si="289"/>
        <v>-6.8</v>
      </c>
      <c r="AG191" s="549">
        <v>10904</v>
      </c>
      <c r="AH191" s="549">
        <v>8331</v>
      </c>
      <c r="AI191" s="330">
        <f t="shared" si="290"/>
        <v>-23.6</v>
      </c>
    </row>
    <row r="192" spans="1:35" s="167" customFormat="1">
      <c r="A192" s="322"/>
      <c r="B192" s="846"/>
      <c r="C192" s="329" t="s">
        <v>57</v>
      </c>
      <c r="D192" s="325">
        <v>14440</v>
      </c>
      <c r="E192" s="325">
        <v>15776</v>
      </c>
      <c r="F192" s="340">
        <v>12193</v>
      </c>
      <c r="G192" s="325">
        <v>11433</v>
      </c>
      <c r="H192" s="325">
        <v>18115</v>
      </c>
      <c r="I192" s="646">
        <v>731</v>
      </c>
      <c r="J192" s="646">
        <v>1657</v>
      </c>
      <c r="K192" s="330">
        <f t="shared" si="279"/>
        <v>126.7</v>
      </c>
      <c r="L192" s="393">
        <f t="shared" si="280"/>
        <v>1409</v>
      </c>
      <c r="M192" s="549">
        <f t="shared" si="280"/>
        <v>1699</v>
      </c>
      <c r="N192" s="330">
        <f t="shared" si="281"/>
        <v>20.6</v>
      </c>
      <c r="O192" s="549">
        <v>2140</v>
      </c>
      <c r="P192" s="549">
        <v>3356</v>
      </c>
      <c r="Q192" s="330">
        <f t="shared" si="282"/>
        <v>56.8</v>
      </c>
      <c r="R192" s="575">
        <f t="shared" si="275"/>
        <v>391</v>
      </c>
      <c r="S192" s="549">
        <f t="shared" si="276"/>
        <v>1233</v>
      </c>
      <c r="T192" s="330">
        <f t="shared" si="283"/>
        <v>215.3</v>
      </c>
      <c r="U192" s="549">
        <v>2531</v>
      </c>
      <c r="V192" s="549">
        <v>4589</v>
      </c>
      <c r="W192" s="330">
        <f t="shared" si="284"/>
        <v>81.3</v>
      </c>
      <c r="X192" s="393">
        <f t="shared" si="285"/>
        <v>2918</v>
      </c>
      <c r="Y192" s="549">
        <f t="shared" si="277"/>
        <v>1870</v>
      </c>
      <c r="Z192" s="330">
        <f t="shared" si="286"/>
        <v>-35.9</v>
      </c>
      <c r="AA192" s="646">
        <v>5449</v>
      </c>
      <c r="AB192" s="646">
        <v>6459</v>
      </c>
      <c r="AC192" s="330">
        <f t="shared" si="287"/>
        <v>18.5</v>
      </c>
      <c r="AD192" s="393">
        <f t="shared" si="288"/>
        <v>2049</v>
      </c>
      <c r="AE192" s="575">
        <f t="shared" si="288"/>
        <v>1486</v>
      </c>
      <c r="AF192" s="330">
        <f t="shared" si="289"/>
        <v>-27.5</v>
      </c>
      <c r="AG192" s="549">
        <v>7498</v>
      </c>
      <c r="AH192" s="549">
        <v>7945</v>
      </c>
      <c r="AI192" s="330">
        <f t="shared" si="290"/>
        <v>6</v>
      </c>
    </row>
    <row r="193" spans="1:35" s="167" customFormat="1">
      <c r="A193" s="322"/>
      <c r="B193" s="846"/>
      <c r="C193" s="329" t="s">
        <v>136</v>
      </c>
      <c r="D193" s="325">
        <v>10226</v>
      </c>
      <c r="E193" s="325">
        <v>10883</v>
      </c>
      <c r="F193" s="340">
        <v>14693</v>
      </c>
      <c r="G193" s="325">
        <v>13465</v>
      </c>
      <c r="H193" s="325">
        <v>11192</v>
      </c>
      <c r="I193" s="646">
        <v>1415</v>
      </c>
      <c r="J193" s="646">
        <v>0</v>
      </c>
      <c r="K193" s="330">
        <f t="shared" si="279"/>
        <v>-100</v>
      </c>
      <c r="L193" s="393">
        <f t="shared" si="280"/>
        <v>1636</v>
      </c>
      <c r="M193" s="549">
        <f t="shared" si="280"/>
        <v>0</v>
      </c>
      <c r="N193" s="330">
        <f t="shared" si="281"/>
        <v>-100</v>
      </c>
      <c r="O193" s="549">
        <v>3051</v>
      </c>
      <c r="P193" s="549">
        <v>0</v>
      </c>
      <c r="Q193" s="330">
        <f t="shared" si="282"/>
        <v>-100</v>
      </c>
      <c r="R193" s="575">
        <f t="shared" si="275"/>
        <v>1556</v>
      </c>
      <c r="S193" s="549">
        <f t="shared" si="276"/>
        <v>0</v>
      </c>
      <c r="T193" s="330">
        <f t="shared" si="283"/>
        <v>-100</v>
      </c>
      <c r="U193" s="549">
        <v>4607</v>
      </c>
      <c r="V193" s="549">
        <v>0</v>
      </c>
      <c r="W193" s="330">
        <f t="shared" si="284"/>
        <v>-100</v>
      </c>
      <c r="X193" s="393">
        <f t="shared" si="285"/>
        <v>541</v>
      </c>
      <c r="Y193" s="549">
        <f t="shared" si="277"/>
        <v>0</v>
      </c>
      <c r="Z193" s="330">
        <f t="shared" si="286"/>
        <v>-100</v>
      </c>
      <c r="AA193" s="646">
        <v>5148</v>
      </c>
      <c r="AB193" s="646">
        <v>0</v>
      </c>
      <c r="AC193" s="330">
        <f t="shared" si="287"/>
        <v>-100</v>
      </c>
      <c r="AD193" s="393">
        <f t="shared" si="288"/>
        <v>2219</v>
      </c>
      <c r="AE193" s="575">
        <f t="shared" si="288"/>
        <v>108</v>
      </c>
      <c r="AF193" s="330">
        <f t="shared" si="289"/>
        <v>-95.1</v>
      </c>
      <c r="AG193" s="549">
        <v>7367</v>
      </c>
      <c r="AH193" s="549">
        <v>108</v>
      </c>
      <c r="AI193" s="330">
        <f t="shared" si="290"/>
        <v>-98.5</v>
      </c>
    </row>
    <row r="194" spans="1:35" s="167" customFormat="1">
      <c r="A194" s="322"/>
      <c r="B194" s="846"/>
      <c r="C194" s="329" t="s">
        <v>215</v>
      </c>
      <c r="D194" s="325">
        <v>4047</v>
      </c>
      <c r="E194" s="325">
        <v>5466</v>
      </c>
      <c r="F194" s="340">
        <v>7868</v>
      </c>
      <c r="G194" s="325">
        <v>10062</v>
      </c>
      <c r="H194" s="325">
        <v>8608</v>
      </c>
      <c r="I194" s="646">
        <v>387</v>
      </c>
      <c r="J194" s="646">
        <v>967</v>
      </c>
      <c r="K194" s="330">
        <f t="shared" si="279"/>
        <v>149.9</v>
      </c>
      <c r="L194" s="393">
        <f t="shared" si="280"/>
        <v>642</v>
      </c>
      <c r="M194" s="549">
        <f t="shared" si="280"/>
        <v>949</v>
      </c>
      <c r="N194" s="330">
        <f t="shared" si="281"/>
        <v>47.8</v>
      </c>
      <c r="O194" s="549">
        <v>1029</v>
      </c>
      <c r="P194" s="549">
        <v>1916</v>
      </c>
      <c r="Q194" s="330">
        <f t="shared" si="282"/>
        <v>86.2</v>
      </c>
      <c r="R194" s="575">
        <f t="shared" si="275"/>
        <v>722</v>
      </c>
      <c r="S194" s="549">
        <f t="shared" si="276"/>
        <v>755</v>
      </c>
      <c r="T194" s="330">
        <f t="shared" si="283"/>
        <v>4.5999999999999996</v>
      </c>
      <c r="U194" s="549">
        <v>1751</v>
      </c>
      <c r="V194" s="549">
        <v>2671</v>
      </c>
      <c r="W194" s="330">
        <f t="shared" si="284"/>
        <v>52.5</v>
      </c>
      <c r="X194" s="393">
        <f t="shared" si="285"/>
        <v>496</v>
      </c>
      <c r="Y194" s="549">
        <f t="shared" si="277"/>
        <v>1012</v>
      </c>
      <c r="Z194" s="330">
        <f t="shared" si="286"/>
        <v>104</v>
      </c>
      <c r="AA194" s="646">
        <v>2247</v>
      </c>
      <c r="AB194" s="646">
        <v>3683</v>
      </c>
      <c r="AC194" s="330">
        <f t="shared" si="287"/>
        <v>63.9</v>
      </c>
      <c r="AD194" s="393">
        <f t="shared" si="288"/>
        <v>871</v>
      </c>
      <c r="AE194" s="575">
        <f t="shared" si="288"/>
        <v>1041</v>
      </c>
      <c r="AF194" s="330">
        <f t="shared" si="289"/>
        <v>19.5</v>
      </c>
      <c r="AG194" s="549">
        <v>3118</v>
      </c>
      <c r="AH194" s="549">
        <v>4724</v>
      </c>
      <c r="AI194" s="330">
        <f t="shared" si="290"/>
        <v>51.5</v>
      </c>
    </row>
    <row r="195" spans="1:35" s="167" customFormat="1">
      <c r="A195" s="322"/>
      <c r="B195" s="846"/>
      <c r="C195" s="329" t="s">
        <v>207</v>
      </c>
      <c r="D195" s="325">
        <v>512</v>
      </c>
      <c r="E195" s="325">
        <v>1664</v>
      </c>
      <c r="F195" s="340">
        <v>10930</v>
      </c>
      <c r="G195" s="325">
        <v>16216</v>
      </c>
      <c r="H195" s="325">
        <v>8294</v>
      </c>
      <c r="I195" s="646">
        <v>380</v>
      </c>
      <c r="J195" s="646">
        <v>1287</v>
      </c>
      <c r="K195" s="330">
        <f t="shared" si="279"/>
        <v>238.7</v>
      </c>
      <c r="L195" s="393">
        <f t="shared" si="280"/>
        <v>621</v>
      </c>
      <c r="M195" s="549">
        <f t="shared" si="280"/>
        <v>1421</v>
      </c>
      <c r="N195" s="330">
        <f t="shared" si="281"/>
        <v>128.80000000000001</v>
      </c>
      <c r="O195" s="549">
        <v>1001</v>
      </c>
      <c r="P195" s="549">
        <v>2708</v>
      </c>
      <c r="Q195" s="330">
        <f t="shared" si="282"/>
        <v>170.5</v>
      </c>
      <c r="R195" s="575">
        <f t="shared" si="275"/>
        <v>1524</v>
      </c>
      <c r="S195" s="549">
        <f t="shared" si="276"/>
        <v>2105</v>
      </c>
      <c r="T195" s="330">
        <f t="shared" si="283"/>
        <v>38.1</v>
      </c>
      <c r="U195" s="549">
        <v>2525</v>
      </c>
      <c r="V195" s="549">
        <v>4813</v>
      </c>
      <c r="W195" s="330">
        <f t="shared" si="284"/>
        <v>90.6</v>
      </c>
      <c r="X195" s="393">
        <f t="shared" si="285"/>
        <v>933</v>
      </c>
      <c r="Y195" s="549">
        <f t="shared" si="277"/>
        <v>2680</v>
      </c>
      <c r="Z195" s="330">
        <f t="shared" si="286"/>
        <v>187.2</v>
      </c>
      <c r="AA195" s="646">
        <v>3458</v>
      </c>
      <c r="AB195" s="646">
        <v>7493</v>
      </c>
      <c r="AC195" s="330">
        <f t="shared" si="287"/>
        <v>116.7</v>
      </c>
      <c r="AD195" s="393">
        <f t="shared" si="288"/>
        <v>974</v>
      </c>
      <c r="AE195" s="575">
        <f t="shared" si="288"/>
        <v>3032</v>
      </c>
      <c r="AF195" s="330">
        <f t="shared" si="289"/>
        <v>211.3</v>
      </c>
      <c r="AG195" s="549">
        <v>4432</v>
      </c>
      <c r="AH195" s="549">
        <v>10525</v>
      </c>
      <c r="AI195" s="330">
        <f t="shared" si="290"/>
        <v>137.5</v>
      </c>
    </row>
    <row r="196" spans="1:35" s="167" customFormat="1">
      <c r="A196" s="322"/>
      <c r="B196" s="846"/>
      <c r="C196" s="329" t="s">
        <v>96</v>
      </c>
      <c r="D196" s="325">
        <v>17761</v>
      </c>
      <c r="E196" s="325">
        <v>16665</v>
      </c>
      <c r="F196" s="340">
        <v>14066</v>
      </c>
      <c r="G196" s="325">
        <v>8912</v>
      </c>
      <c r="H196" s="325">
        <v>7449</v>
      </c>
      <c r="I196" s="646">
        <v>570</v>
      </c>
      <c r="J196" s="646">
        <v>826</v>
      </c>
      <c r="K196" s="330">
        <f t="shared" si="279"/>
        <v>44.9</v>
      </c>
      <c r="L196" s="393">
        <f t="shared" si="280"/>
        <v>588</v>
      </c>
      <c r="M196" s="549">
        <f t="shared" si="280"/>
        <v>940</v>
      </c>
      <c r="N196" s="330">
        <f t="shared" si="281"/>
        <v>59.9</v>
      </c>
      <c r="O196" s="549">
        <v>1158</v>
      </c>
      <c r="P196" s="549">
        <v>1766</v>
      </c>
      <c r="Q196" s="330">
        <f t="shared" si="282"/>
        <v>52.5</v>
      </c>
      <c r="R196" s="575">
        <f t="shared" si="275"/>
        <v>677</v>
      </c>
      <c r="S196" s="549">
        <f t="shared" si="276"/>
        <v>1078</v>
      </c>
      <c r="T196" s="330">
        <f t="shared" si="283"/>
        <v>59.2</v>
      </c>
      <c r="U196" s="549">
        <v>1835</v>
      </c>
      <c r="V196" s="549">
        <v>2844</v>
      </c>
      <c r="W196" s="544">
        <f t="shared" si="284"/>
        <v>55</v>
      </c>
      <c r="X196" s="575">
        <f t="shared" ref="X196:X202" si="291">AA196-U196</f>
        <v>781</v>
      </c>
      <c r="Y196" s="549">
        <f t="shared" ref="Y196:Y202" si="292">AB196-V196</f>
        <v>402</v>
      </c>
      <c r="Z196" s="544">
        <f t="shared" ref="Z196:Z201" si="293">ROUND(((Y196/X196-1)*100), 1)</f>
        <v>-48.5</v>
      </c>
      <c r="AA196" s="646">
        <v>2616</v>
      </c>
      <c r="AB196" s="646">
        <v>3246</v>
      </c>
      <c r="AC196" s="330">
        <f t="shared" si="287"/>
        <v>24.1</v>
      </c>
      <c r="AD196" s="393">
        <f t="shared" si="288"/>
        <v>674</v>
      </c>
      <c r="AE196" s="575">
        <f t="shared" si="288"/>
        <v>857</v>
      </c>
      <c r="AF196" s="330">
        <f t="shared" si="289"/>
        <v>27.2</v>
      </c>
      <c r="AG196" s="549">
        <v>3290</v>
      </c>
      <c r="AH196" s="549">
        <v>4103</v>
      </c>
      <c r="AI196" s="330">
        <f t="shared" si="290"/>
        <v>24.7</v>
      </c>
    </row>
    <row r="197" spans="1:35" s="167" customFormat="1">
      <c r="A197" s="322"/>
      <c r="B197" s="846"/>
      <c r="C197" s="329" t="s">
        <v>453</v>
      </c>
      <c r="D197" s="325">
        <v>203</v>
      </c>
      <c r="E197" s="325">
        <v>175</v>
      </c>
      <c r="F197" s="340">
        <v>3754</v>
      </c>
      <c r="G197" s="325">
        <v>6628</v>
      </c>
      <c r="H197" s="325">
        <v>7359</v>
      </c>
      <c r="I197" s="646">
        <v>0</v>
      </c>
      <c r="J197" s="646">
        <v>1325</v>
      </c>
      <c r="K197" s="570">
        <v>0</v>
      </c>
      <c r="L197" s="393">
        <f t="shared" si="280"/>
        <v>0</v>
      </c>
      <c r="M197" s="549">
        <f t="shared" si="280"/>
        <v>1596</v>
      </c>
      <c r="N197" s="561">
        <v>0</v>
      </c>
      <c r="O197" s="549">
        <v>0</v>
      </c>
      <c r="P197" s="549">
        <v>2921</v>
      </c>
      <c r="Q197" s="561">
        <v>0</v>
      </c>
      <c r="R197" s="575">
        <f t="shared" si="275"/>
        <v>699</v>
      </c>
      <c r="S197" s="549">
        <f t="shared" si="276"/>
        <v>1258</v>
      </c>
      <c r="T197" s="330">
        <f t="shared" si="283"/>
        <v>80</v>
      </c>
      <c r="U197" s="549">
        <v>699</v>
      </c>
      <c r="V197" s="549">
        <v>4179</v>
      </c>
      <c r="W197" s="544">
        <f t="shared" si="284"/>
        <v>497.9</v>
      </c>
      <c r="X197" s="575">
        <f t="shared" si="291"/>
        <v>1081</v>
      </c>
      <c r="Y197" s="549">
        <f t="shared" si="292"/>
        <v>1877</v>
      </c>
      <c r="Z197" s="544">
        <f t="shared" si="293"/>
        <v>73.599999999999994</v>
      </c>
      <c r="AA197" s="646">
        <v>1780</v>
      </c>
      <c r="AB197" s="646">
        <v>6056</v>
      </c>
      <c r="AC197" s="330">
        <f t="shared" si="287"/>
        <v>240.2</v>
      </c>
      <c r="AD197" s="575">
        <f t="shared" ref="AD197:AE202" si="294">AG197-AA197</f>
        <v>630</v>
      </c>
      <c r="AE197" s="575">
        <f t="shared" si="294"/>
        <v>1659</v>
      </c>
      <c r="AF197" s="544">
        <f t="shared" ref="AF197:AF202" si="295">ROUND(((AE197/AD197-1)*100), 1)</f>
        <v>163.30000000000001</v>
      </c>
      <c r="AG197" s="549">
        <v>2410</v>
      </c>
      <c r="AH197" s="549">
        <v>7715</v>
      </c>
      <c r="AI197" s="330">
        <f t="shared" si="290"/>
        <v>220.1</v>
      </c>
    </row>
    <row r="198" spans="1:35" s="167" customFormat="1">
      <c r="A198" s="322"/>
      <c r="B198" s="846"/>
      <c r="C198" s="329" t="s">
        <v>307</v>
      </c>
      <c r="D198" s="325">
        <v>861</v>
      </c>
      <c r="E198" s="325">
        <v>2553</v>
      </c>
      <c r="F198" s="340">
        <v>6134</v>
      </c>
      <c r="G198" s="325">
        <v>7402</v>
      </c>
      <c r="H198" s="325">
        <v>6786</v>
      </c>
      <c r="I198" s="646">
        <v>572</v>
      </c>
      <c r="J198" s="646">
        <v>383</v>
      </c>
      <c r="K198" s="330">
        <f t="shared" si="279"/>
        <v>-33</v>
      </c>
      <c r="L198" s="393">
        <f t="shared" si="280"/>
        <v>854</v>
      </c>
      <c r="M198" s="549">
        <f t="shared" si="280"/>
        <v>523</v>
      </c>
      <c r="N198" s="330">
        <f t="shared" si="281"/>
        <v>-38.799999999999997</v>
      </c>
      <c r="O198" s="549">
        <v>1426</v>
      </c>
      <c r="P198" s="549">
        <v>906</v>
      </c>
      <c r="Q198" s="330">
        <f t="shared" si="282"/>
        <v>-36.5</v>
      </c>
      <c r="R198" s="575">
        <f t="shared" ref="R198:R202" si="296">U198-O198</f>
        <v>341</v>
      </c>
      <c r="S198" s="549">
        <f t="shared" ref="S198:S202" si="297">V198-P198</f>
        <v>322</v>
      </c>
      <c r="T198" s="544">
        <f t="shared" ref="T198:T202" si="298">ROUND(((S198/R198-1)*100), 1)</f>
        <v>-5.6</v>
      </c>
      <c r="U198" s="549">
        <v>1767</v>
      </c>
      <c r="V198" s="549">
        <v>1228</v>
      </c>
      <c r="W198" s="544">
        <f t="shared" si="284"/>
        <v>-30.5</v>
      </c>
      <c r="X198" s="575">
        <f t="shared" si="291"/>
        <v>812</v>
      </c>
      <c r="Y198" s="549">
        <f t="shared" si="292"/>
        <v>0</v>
      </c>
      <c r="Z198" s="544">
        <f t="shared" si="293"/>
        <v>-100</v>
      </c>
      <c r="AA198" s="646">
        <v>2579</v>
      </c>
      <c r="AB198" s="646">
        <v>1228</v>
      </c>
      <c r="AC198" s="330">
        <f t="shared" si="287"/>
        <v>-52.4</v>
      </c>
      <c r="AD198" s="575">
        <f t="shared" si="294"/>
        <v>366</v>
      </c>
      <c r="AE198" s="575">
        <f t="shared" si="294"/>
        <v>0</v>
      </c>
      <c r="AF198" s="544">
        <f t="shared" si="295"/>
        <v>-100</v>
      </c>
      <c r="AG198" s="549">
        <v>2945</v>
      </c>
      <c r="AH198" s="549">
        <v>1228</v>
      </c>
      <c r="AI198" s="330">
        <f t="shared" si="290"/>
        <v>-58.3</v>
      </c>
    </row>
    <row r="199" spans="1:35" s="167" customFormat="1">
      <c r="A199" s="322"/>
      <c r="B199" s="846"/>
      <c r="C199" s="329" t="s">
        <v>49</v>
      </c>
      <c r="D199" s="325">
        <v>14887</v>
      </c>
      <c r="E199" s="325">
        <v>14120</v>
      </c>
      <c r="F199" s="340">
        <v>10075</v>
      </c>
      <c r="G199" s="325">
        <v>7901</v>
      </c>
      <c r="H199" s="325">
        <v>5859</v>
      </c>
      <c r="I199" s="646">
        <v>615</v>
      </c>
      <c r="J199" s="646">
        <v>76</v>
      </c>
      <c r="K199" s="330">
        <f t="shared" si="279"/>
        <v>-87.6</v>
      </c>
      <c r="L199" s="393">
        <f t="shared" si="280"/>
        <v>1280</v>
      </c>
      <c r="M199" s="549">
        <f t="shared" si="280"/>
        <v>297</v>
      </c>
      <c r="N199" s="330">
        <f t="shared" si="281"/>
        <v>-76.8</v>
      </c>
      <c r="O199" s="549">
        <v>1895</v>
      </c>
      <c r="P199" s="549">
        <v>373</v>
      </c>
      <c r="Q199" s="330">
        <f t="shared" si="282"/>
        <v>-80.3</v>
      </c>
      <c r="R199" s="575">
        <f t="shared" si="296"/>
        <v>203</v>
      </c>
      <c r="S199" s="549">
        <f t="shared" si="297"/>
        <v>448</v>
      </c>
      <c r="T199" s="544">
        <f t="shared" si="298"/>
        <v>120.7</v>
      </c>
      <c r="U199" s="549">
        <v>2098</v>
      </c>
      <c r="V199" s="549">
        <v>821</v>
      </c>
      <c r="W199" s="544">
        <f t="shared" si="284"/>
        <v>-60.9</v>
      </c>
      <c r="X199" s="575">
        <f t="shared" si="291"/>
        <v>39</v>
      </c>
      <c r="Y199" s="549">
        <f t="shared" si="292"/>
        <v>107</v>
      </c>
      <c r="Z199" s="544">
        <f t="shared" si="293"/>
        <v>174.4</v>
      </c>
      <c r="AA199" s="646">
        <v>2137</v>
      </c>
      <c r="AB199" s="646">
        <v>928</v>
      </c>
      <c r="AC199" s="330">
        <f t="shared" si="287"/>
        <v>-56.6</v>
      </c>
      <c r="AD199" s="575">
        <f t="shared" si="294"/>
        <v>338</v>
      </c>
      <c r="AE199" s="575">
        <f t="shared" si="294"/>
        <v>86</v>
      </c>
      <c r="AF199" s="544">
        <f t="shared" si="295"/>
        <v>-74.599999999999994</v>
      </c>
      <c r="AG199" s="549">
        <v>2475</v>
      </c>
      <c r="AH199" s="549">
        <v>1014</v>
      </c>
      <c r="AI199" s="330">
        <f t="shared" si="290"/>
        <v>-59</v>
      </c>
    </row>
    <row r="200" spans="1:35" s="167" customFormat="1">
      <c r="A200" s="322"/>
      <c r="B200" s="846"/>
      <c r="C200" s="329" t="s">
        <v>455</v>
      </c>
      <c r="D200" s="325">
        <v>616</v>
      </c>
      <c r="E200" s="325">
        <v>336</v>
      </c>
      <c r="F200" s="340">
        <v>3727</v>
      </c>
      <c r="G200" s="325">
        <v>4891</v>
      </c>
      <c r="H200" s="325">
        <v>5278</v>
      </c>
      <c r="I200" s="646">
        <v>308</v>
      </c>
      <c r="J200" s="646">
        <v>431</v>
      </c>
      <c r="K200" s="330">
        <f t="shared" si="279"/>
        <v>39.9</v>
      </c>
      <c r="L200" s="575">
        <f t="shared" ref="L200:L201" si="299">O200-I200</f>
        <v>0</v>
      </c>
      <c r="M200" s="549">
        <f t="shared" ref="M200:M201" si="300">P200-J200</f>
        <v>537</v>
      </c>
      <c r="N200" s="561">
        <v>0</v>
      </c>
      <c r="O200" s="549">
        <v>308</v>
      </c>
      <c r="P200" s="549">
        <v>968</v>
      </c>
      <c r="Q200" s="330">
        <f t="shared" si="282"/>
        <v>214.3</v>
      </c>
      <c r="R200" s="575">
        <f t="shared" si="296"/>
        <v>199</v>
      </c>
      <c r="S200" s="549">
        <f t="shared" si="297"/>
        <v>589</v>
      </c>
      <c r="T200" s="544">
        <f t="shared" si="298"/>
        <v>196</v>
      </c>
      <c r="U200" s="549">
        <v>507</v>
      </c>
      <c r="V200" s="549">
        <v>1557</v>
      </c>
      <c r="W200" s="544">
        <f t="shared" si="284"/>
        <v>207.1</v>
      </c>
      <c r="X200" s="575">
        <f t="shared" si="291"/>
        <v>393</v>
      </c>
      <c r="Y200" s="549">
        <f t="shared" si="292"/>
        <v>548</v>
      </c>
      <c r="Z200" s="544">
        <f t="shared" si="293"/>
        <v>39.4</v>
      </c>
      <c r="AA200" s="646">
        <v>900</v>
      </c>
      <c r="AB200" s="646">
        <v>2105</v>
      </c>
      <c r="AC200" s="330">
        <f t="shared" si="287"/>
        <v>133.9</v>
      </c>
      <c r="AD200" s="575">
        <f t="shared" si="294"/>
        <v>15</v>
      </c>
      <c r="AE200" s="575">
        <f t="shared" si="294"/>
        <v>782</v>
      </c>
      <c r="AF200" s="544">
        <f t="shared" si="295"/>
        <v>5113.3</v>
      </c>
      <c r="AG200" s="549">
        <v>915</v>
      </c>
      <c r="AH200" s="549">
        <v>2887</v>
      </c>
      <c r="AI200" s="330">
        <f t="shared" si="290"/>
        <v>215.5</v>
      </c>
    </row>
    <row r="201" spans="1:35" s="167" customFormat="1">
      <c r="A201" s="322"/>
      <c r="B201" s="846"/>
      <c r="C201" s="329" t="s">
        <v>539</v>
      </c>
      <c r="D201" s="325">
        <v>202</v>
      </c>
      <c r="E201" s="325">
        <v>279</v>
      </c>
      <c r="F201" s="340">
        <v>583</v>
      </c>
      <c r="G201" s="325">
        <v>1810</v>
      </c>
      <c r="H201" s="325">
        <v>4907</v>
      </c>
      <c r="I201" s="646">
        <v>462</v>
      </c>
      <c r="J201" s="646">
        <v>697</v>
      </c>
      <c r="K201" s="544">
        <f t="shared" si="279"/>
        <v>50.9</v>
      </c>
      <c r="L201" s="575">
        <f t="shared" si="299"/>
        <v>306</v>
      </c>
      <c r="M201" s="549">
        <f t="shared" si="300"/>
        <v>485</v>
      </c>
      <c r="N201" s="544">
        <f t="shared" ref="N201" si="301">ROUND(((M201/L201-1)*100), 1)</f>
        <v>58.5</v>
      </c>
      <c r="O201" s="549">
        <v>768</v>
      </c>
      <c r="P201" s="549">
        <v>1182</v>
      </c>
      <c r="Q201" s="544">
        <f t="shared" si="282"/>
        <v>53.9</v>
      </c>
      <c r="R201" s="575">
        <f t="shared" si="296"/>
        <v>446</v>
      </c>
      <c r="S201" s="549">
        <f t="shared" si="297"/>
        <v>1031</v>
      </c>
      <c r="T201" s="544">
        <f t="shared" si="298"/>
        <v>131.19999999999999</v>
      </c>
      <c r="U201" s="549">
        <v>1214</v>
      </c>
      <c r="V201" s="549">
        <v>2213</v>
      </c>
      <c r="W201" s="544">
        <f t="shared" si="284"/>
        <v>82.3</v>
      </c>
      <c r="X201" s="575">
        <f t="shared" si="291"/>
        <v>362</v>
      </c>
      <c r="Y201" s="549">
        <f t="shared" si="292"/>
        <v>903</v>
      </c>
      <c r="Z201" s="544">
        <f t="shared" si="293"/>
        <v>149.4</v>
      </c>
      <c r="AA201" s="646">
        <v>1576</v>
      </c>
      <c r="AB201" s="646">
        <v>3116</v>
      </c>
      <c r="AC201" s="544">
        <f t="shared" si="287"/>
        <v>97.7</v>
      </c>
      <c r="AD201" s="575">
        <f t="shared" si="294"/>
        <v>221</v>
      </c>
      <c r="AE201" s="575">
        <f t="shared" si="294"/>
        <v>340</v>
      </c>
      <c r="AF201" s="544">
        <f t="shared" si="295"/>
        <v>53.8</v>
      </c>
      <c r="AG201" s="549">
        <v>1797</v>
      </c>
      <c r="AH201" s="549">
        <v>3456</v>
      </c>
      <c r="AI201" s="544">
        <f t="shared" si="290"/>
        <v>92.3</v>
      </c>
    </row>
    <row r="202" spans="1:35" s="167" customFormat="1">
      <c r="A202" s="322"/>
      <c r="B202" s="846"/>
      <c r="C202" s="329" t="s">
        <v>454</v>
      </c>
      <c r="D202" s="325">
        <v>12</v>
      </c>
      <c r="E202" s="325">
        <v>720</v>
      </c>
      <c r="F202" s="340">
        <v>3137</v>
      </c>
      <c r="G202" s="325">
        <v>5080</v>
      </c>
      <c r="H202" s="325">
        <v>4882</v>
      </c>
      <c r="I202" s="646">
        <v>0</v>
      </c>
      <c r="J202" s="646">
        <v>408</v>
      </c>
      <c r="K202" s="570">
        <v>0</v>
      </c>
      <c r="L202" s="393">
        <f>O202-I202</f>
        <v>1782</v>
      </c>
      <c r="M202" s="549">
        <f>P202-J202</f>
        <v>742</v>
      </c>
      <c r="N202" s="330">
        <f>ROUND(((M202/L202-1)*100), 1)</f>
        <v>-58.4</v>
      </c>
      <c r="O202" s="549">
        <v>1782</v>
      </c>
      <c r="P202" s="549">
        <v>1150</v>
      </c>
      <c r="Q202" s="330">
        <f>ROUND(((P202/O202-1)*100), 1)</f>
        <v>-35.5</v>
      </c>
      <c r="R202" s="575">
        <f t="shared" si="296"/>
        <v>727</v>
      </c>
      <c r="S202" s="549">
        <f t="shared" si="297"/>
        <v>708</v>
      </c>
      <c r="T202" s="544">
        <f t="shared" si="298"/>
        <v>-2.6</v>
      </c>
      <c r="U202" s="549">
        <v>2509</v>
      </c>
      <c r="V202" s="549">
        <v>1858</v>
      </c>
      <c r="W202" s="544">
        <f t="shared" si="284"/>
        <v>-25.9</v>
      </c>
      <c r="X202" s="575">
        <f t="shared" si="291"/>
        <v>0</v>
      </c>
      <c r="Y202" s="549">
        <f t="shared" si="292"/>
        <v>472</v>
      </c>
      <c r="Z202" s="570">
        <v>0</v>
      </c>
      <c r="AA202" s="646">
        <v>2509</v>
      </c>
      <c r="AB202" s="646">
        <v>2330</v>
      </c>
      <c r="AC202" s="330">
        <f>ROUND(((AB202/AA202-1)*100), 1)</f>
        <v>-7.1</v>
      </c>
      <c r="AD202" s="575">
        <f t="shared" si="294"/>
        <v>601</v>
      </c>
      <c r="AE202" s="575">
        <f t="shared" si="294"/>
        <v>443</v>
      </c>
      <c r="AF202" s="544">
        <f t="shared" si="295"/>
        <v>-26.3</v>
      </c>
      <c r="AG202" s="549">
        <v>3110</v>
      </c>
      <c r="AH202" s="549">
        <v>2773</v>
      </c>
      <c r="AI202" s="330">
        <f>ROUND(((AH202/AG202-1)*100), 1)</f>
        <v>-10.8</v>
      </c>
    </row>
    <row r="203" spans="1:35" s="167" customFormat="1">
      <c r="A203" s="322"/>
      <c r="B203" s="846"/>
      <c r="C203" s="329" t="s">
        <v>117</v>
      </c>
      <c r="D203" s="325">
        <v>2781</v>
      </c>
      <c r="E203" s="325">
        <v>807</v>
      </c>
      <c r="F203" s="340">
        <v>6753</v>
      </c>
      <c r="G203" s="325">
        <v>6416</v>
      </c>
      <c r="H203" s="325">
        <v>3633</v>
      </c>
      <c r="I203" s="646">
        <v>479</v>
      </c>
      <c r="J203" s="646">
        <v>297</v>
      </c>
      <c r="K203" s="330">
        <f>ROUND(((J203/I203-1)*100), 1)</f>
        <v>-38</v>
      </c>
      <c r="L203" s="393">
        <f>O203-I203</f>
        <v>119</v>
      </c>
      <c r="M203" s="549">
        <f>P203-J203</f>
        <v>444</v>
      </c>
      <c r="N203" s="330">
        <f>ROUND(((M203/L203-1)*100), 1)</f>
        <v>273.10000000000002</v>
      </c>
      <c r="O203" s="549">
        <v>598</v>
      </c>
      <c r="P203" s="549">
        <v>741</v>
      </c>
      <c r="Q203" s="330">
        <f>ROUND(((P203/O203-1)*100), 1)</f>
        <v>23.9</v>
      </c>
      <c r="R203" s="575">
        <f>U203-O203</f>
        <v>453</v>
      </c>
      <c r="S203" s="549">
        <f>V203-P203</f>
        <v>584</v>
      </c>
      <c r="T203" s="330">
        <f>ROUND(((S203/R203-1)*100), 1)</f>
        <v>28.9</v>
      </c>
      <c r="U203" s="549">
        <v>1051</v>
      </c>
      <c r="V203" s="549">
        <v>1325</v>
      </c>
      <c r="W203" s="330">
        <f>ROUND(((V203/U203-1)*100), 1)</f>
        <v>26.1</v>
      </c>
      <c r="X203" s="393">
        <f>AA203-U203</f>
        <v>417</v>
      </c>
      <c r="Y203" s="549">
        <f>AB203-V203</f>
        <v>212</v>
      </c>
      <c r="Z203" s="330">
        <f>ROUND(((Y203/X203-1)*100), 1)</f>
        <v>-49.2</v>
      </c>
      <c r="AA203" s="646">
        <v>1468</v>
      </c>
      <c r="AB203" s="646">
        <v>1537</v>
      </c>
      <c r="AC203" s="330">
        <f>ROUND(((AB203/AA203-1)*100), 1)</f>
        <v>4.7</v>
      </c>
      <c r="AD203" s="393">
        <f>AG203-AA203</f>
        <v>512</v>
      </c>
      <c r="AE203" s="575">
        <f>AH203-AB203</f>
        <v>266</v>
      </c>
      <c r="AF203" s="330">
        <f>ROUND(((AE203/AD203-1)*100), 1)</f>
        <v>-48</v>
      </c>
      <c r="AG203" s="549">
        <v>1980</v>
      </c>
      <c r="AH203" s="549">
        <v>1803</v>
      </c>
      <c r="AI203" s="330">
        <f>ROUND(((AH203/AG203-1)*100), 1)</f>
        <v>-8.9</v>
      </c>
    </row>
    <row r="204" spans="1:35">
      <c r="A204" s="92"/>
      <c r="B204" s="846"/>
      <c r="C204" s="101" t="s">
        <v>75</v>
      </c>
      <c r="D204" s="94">
        <f t="shared" ref="D204:J204" si="302">D205-SUM(D181:D203)</f>
        <v>47876</v>
      </c>
      <c r="E204" s="94">
        <f t="shared" si="302"/>
        <v>54637</v>
      </c>
      <c r="F204" s="102">
        <f t="shared" si="302"/>
        <v>46676</v>
      </c>
      <c r="G204" s="94">
        <f t="shared" si="302"/>
        <v>45434</v>
      </c>
      <c r="H204" s="94">
        <f t="shared" si="302"/>
        <v>22309</v>
      </c>
      <c r="I204" s="642">
        <f t="shared" si="302"/>
        <v>2660</v>
      </c>
      <c r="J204" s="642">
        <f t="shared" si="302"/>
        <v>2672</v>
      </c>
      <c r="K204" s="255">
        <f t="shared" si="265"/>
        <v>0.5</v>
      </c>
      <c r="L204" s="386">
        <f>L205-SUM(L181:L203)</f>
        <v>1568</v>
      </c>
      <c r="M204" s="547">
        <f>M205-SUM(M181:M203)</f>
        <v>1603</v>
      </c>
      <c r="N204" s="255">
        <f t="shared" si="266"/>
        <v>2.2000000000000002</v>
      </c>
      <c r="O204" s="574">
        <f>O205-SUM(O181:O203)</f>
        <v>4228</v>
      </c>
      <c r="P204" s="547">
        <f>P205-SUM(P181:P203)</f>
        <v>4275</v>
      </c>
      <c r="Q204" s="255">
        <f t="shared" si="267"/>
        <v>1.1000000000000001</v>
      </c>
      <c r="R204" s="574">
        <f>R205-SUM(R181:R203)</f>
        <v>2191</v>
      </c>
      <c r="S204" s="547">
        <f>S205-SUM(S181:S203)</f>
        <v>1906</v>
      </c>
      <c r="T204" s="255">
        <f t="shared" si="268"/>
        <v>-13</v>
      </c>
      <c r="U204" s="574">
        <f>U205-SUM(U181:U203)</f>
        <v>6419</v>
      </c>
      <c r="V204" s="547">
        <f>V205-SUM(V181:V203)</f>
        <v>6181</v>
      </c>
      <c r="W204" s="255">
        <f t="shared" si="269"/>
        <v>-3.7</v>
      </c>
      <c r="X204" s="386">
        <f>X205-SUM(X181:X203)</f>
        <v>2783</v>
      </c>
      <c r="Y204" s="547">
        <f>Y205-SUM(Y181:Y203)</f>
        <v>1590</v>
      </c>
      <c r="Z204" s="255">
        <f t="shared" si="270"/>
        <v>-42.9</v>
      </c>
      <c r="AA204" s="643">
        <f>AA205-SUM(AA181:AA203)</f>
        <v>9202</v>
      </c>
      <c r="AB204" s="642">
        <f>AB205-SUM(AB181:AB203)</f>
        <v>7771</v>
      </c>
      <c r="AC204" s="255">
        <f t="shared" si="271"/>
        <v>-15.6</v>
      </c>
      <c r="AD204" s="386">
        <f>AD205-SUM(AD181:AD203)</f>
        <v>925</v>
      </c>
      <c r="AE204" s="574">
        <f>AE205-SUM(AE181:AE203)</f>
        <v>2569</v>
      </c>
      <c r="AF204" s="255">
        <f t="shared" si="272"/>
        <v>177.7</v>
      </c>
      <c r="AG204" s="574">
        <f>AG205-SUM(AG181:AG203)</f>
        <v>10127</v>
      </c>
      <c r="AH204" s="547">
        <f>AH205-SUM(AH181:AH203)</f>
        <v>10340</v>
      </c>
      <c r="AI204" s="255">
        <f t="shared" si="273"/>
        <v>2.1</v>
      </c>
    </row>
    <row r="205" spans="1:35">
      <c r="A205" s="92"/>
      <c r="B205" s="846"/>
      <c r="C205" s="41" t="s">
        <v>213</v>
      </c>
      <c r="D205" s="95">
        <v>448966</v>
      </c>
      <c r="E205" s="95">
        <v>487807</v>
      </c>
      <c r="F205" s="326">
        <v>537325</v>
      </c>
      <c r="G205" s="95">
        <v>600662</v>
      </c>
      <c r="H205" s="435">
        <v>600520</v>
      </c>
      <c r="I205" s="644">
        <v>50017</v>
      </c>
      <c r="J205" s="644">
        <v>49948</v>
      </c>
      <c r="K205" s="256">
        <f t="shared" si="265"/>
        <v>-0.1</v>
      </c>
      <c r="L205" s="381">
        <f>O205-I205</f>
        <v>50412</v>
      </c>
      <c r="M205" s="548">
        <f>P205-J205</f>
        <v>44161</v>
      </c>
      <c r="N205" s="256">
        <f t="shared" si="266"/>
        <v>-12.4</v>
      </c>
      <c r="O205" s="456">
        <v>100429</v>
      </c>
      <c r="P205" s="548">
        <v>94109</v>
      </c>
      <c r="Q205" s="448">
        <f t="shared" si="267"/>
        <v>-6.3</v>
      </c>
      <c r="R205" s="554">
        <f>U205-O205</f>
        <v>54879</v>
      </c>
      <c r="S205" s="548">
        <f>V205-P205</f>
        <v>54321</v>
      </c>
      <c r="T205" s="256">
        <f t="shared" si="268"/>
        <v>-1</v>
      </c>
      <c r="U205" s="456">
        <v>155308</v>
      </c>
      <c r="V205" s="548">
        <v>148430</v>
      </c>
      <c r="W205" s="448">
        <f t="shared" si="269"/>
        <v>-4.4000000000000004</v>
      </c>
      <c r="X205" s="381">
        <f>AA205-U205</f>
        <v>51569</v>
      </c>
      <c r="Y205" s="548">
        <f>AB205-V205</f>
        <v>57171</v>
      </c>
      <c r="Z205" s="256">
        <f t="shared" si="270"/>
        <v>10.9</v>
      </c>
      <c r="AA205" s="653">
        <v>206877</v>
      </c>
      <c r="AB205" s="644">
        <v>205601</v>
      </c>
      <c r="AC205" s="448">
        <f t="shared" si="271"/>
        <v>-0.6</v>
      </c>
      <c r="AD205" s="381">
        <f>AG205-AA205</f>
        <v>45606</v>
      </c>
      <c r="AE205" s="554">
        <f>AH205-AB205</f>
        <v>56498</v>
      </c>
      <c r="AF205" s="256">
        <f t="shared" si="272"/>
        <v>23.9</v>
      </c>
      <c r="AG205" s="456">
        <v>252483</v>
      </c>
      <c r="AH205" s="548">
        <v>262099</v>
      </c>
      <c r="AI205" s="448">
        <f t="shared" si="273"/>
        <v>3.8</v>
      </c>
    </row>
    <row r="206" spans="1:35">
      <c r="A206" s="8"/>
      <c r="B206" s="844" t="s">
        <v>171</v>
      </c>
      <c r="C206" s="828"/>
      <c r="D206" s="104">
        <f t="shared" ref="D206:J206" si="303">SUM(D180+D205)</f>
        <v>465056</v>
      </c>
      <c r="E206" s="104">
        <f t="shared" si="303"/>
        <v>501824</v>
      </c>
      <c r="F206" s="327">
        <f t="shared" si="303"/>
        <v>551915</v>
      </c>
      <c r="G206" s="103">
        <f t="shared" si="303"/>
        <v>618065</v>
      </c>
      <c r="H206" s="103">
        <f t="shared" si="303"/>
        <v>615159</v>
      </c>
      <c r="I206" s="649">
        <f t="shared" si="303"/>
        <v>51181</v>
      </c>
      <c r="J206" s="649">
        <f t="shared" si="303"/>
        <v>51683</v>
      </c>
      <c r="K206" s="256">
        <f t="shared" si="265"/>
        <v>1</v>
      </c>
      <c r="L206" s="380">
        <f>SUM(L180+L205)</f>
        <v>52123</v>
      </c>
      <c r="M206" s="551">
        <f>SUM(M180+M205)</f>
        <v>45625</v>
      </c>
      <c r="N206" s="256">
        <f t="shared" si="266"/>
        <v>-12.5</v>
      </c>
      <c r="O206" s="551">
        <f>SUM(O180+O205)</f>
        <v>103304</v>
      </c>
      <c r="P206" s="551">
        <f>SUM(P180+P205)</f>
        <v>97308</v>
      </c>
      <c r="Q206" s="256">
        <f t="shared" si="267"/>
        <v>-5.8</v>
      </c>
      <c r="R206" s="553">
        <f>SUM(R180+R205)</f>
        <v>56308</v>
      </c>
      <c r="S206" s="551">
        <f>SUM(S180+S205)</f>
        <v>56951</v>
      </c>
      <c r="T206" s="256">
        <f t="shared" si="268"/>
        <v>1.1000000000000001</v>
      </c>
      <c r="U206" s="551">
        <f>SUM(U180+U205)</f>
        <v>159612</v>
      </c>
      <c r="V206" s="551">
        <f>SUM(V180+V205)</f>
        <v>154259</v>
      </c>
      <c r="W206" s="256">
        <f t="shared" si="269"/>
        <v>-3.4</v>
      </c>
      <c r="X206" s="380">
        <f>SUM(X180+X205)</f>
        <v>53110</v>
      </c>
      <c r="Y206" s="551">
        <f>SUM(Y180+Y205)</f>
        <v>59300</v>
      </c>
      <c r="Z206" s="256">
        <f t="shared" si="270"/>
        <v>11.7</v>
      </c>
      <c r="AA206" s="649">
        <f>SUM(AA180+AA205)</f>
        <v>212722</v>
      </c>
      <c r="AB206" s="649">
        <f>SUM(AB180+AB205)</f>
        <v>213559</v>
      </c>
      <c r="AC206" s="256">
        <f t="shared" si="271"/>
        <v>0.4</v>
      </c>
      <c r="AD206" s="380">
        <f>SUM(AD180+AD205)</f>
        <v>46587</v>
      </c>
      <c r="AE206" s="553">
        <f>SUM(AE180+AE205)</f>
        <v>58152</v>
      </c>
      <c r="AF206" s="256">
        <f t="shared" si="272"/>
        <v>24.8</v>
      </c>
      <c r="AG206" s="551">
        <f>SUM(AG180+AG205)</f>
        <v>259309</v>
      </c>
      <c r="AH206" s="551">
        <f>SUM(AH180+AH205)</f>
        <v>271711</v>
      </c>
      <c r="AI206" s="256">
        <f t="shared" si="273"/>
        <v>4.8</v>
      </c>
    </row>
    <row r="207" spans="1:35" ht="11.25" customHeight="1">
      <c r="K207" s="248"/>
    </row>
    <row r="208" spans="1:35">
      <c r="K208" s="248"/>
    </row>
    <row r="209" spans="1:35">
      <c r="A209" s="26"/>
      <c r="B209" s="26"/>
      <c r="D209" s="71"/>
      <c r="E209" s="71"/>
      <c r="F209" s="266"/>
      <c r="G209" s="266"/>
      <c r="H209" s="567"/>
      <c r="I209" s="624"/>
      <c r="J209" s="624"/>
      <c r="K209" s="249" t="s">
        <v>87</v>
      </c>
      <c r="L209" s="266"/>
      <c r="M209" s="567"/>
      <c r="N209" s="262"/>
      <c r="O209" s="567"/>
      <c r="P209" s="567"/>
      <c r="Q209" s="262" t="s">
        <v>87</v>
      </c>
      <c r="R209" s="567"/>
      <c r="S209" s="567"/>
      <c r="T209" s="262"/>
      <c r="U209" s="567"/>
      <c r="V209" s="567"/>
      <c r="W209" s="262" t="s">
        <v>87</v>
      </c>
      <c r="X209" s="266"/>
      <c r="Y209" s="567"/>
      <c r="Z209" s="262"/>
      <c r="AA209" s="624"/>
      <c r="AB209" s="624"/>
      <c r="AC209" s="262" t="s">
        <v>87</v>
      </c>
      <c r="AD209" s="266"/>
      <c r="AE209" s="567"/>
      <c r="AF209" s="262"/>
      <c r="AG209" s="567"/>
      <c r="AH209" s="567"/>
      <c r="AI209" s="262" t="s">
        <v>87</v>
      </c>
    </row>
    <row r="210" spans="1:35" s="367" customFormat="1" ht="18" customHeight="1">
      <c r="A210" s="733" t="s">
        <v>88</v>
      </c>
      <c r="B210" s="733"/>
      <c r="C210" s="733"/>
      <c r="D210" s="855" t="s">
        <v>2</v>
      </c>
      <c r="E210" s="855" t="s">
        <v>559</v>
      </c>
      <c r="F210" s="855" t="s">
        <v>76</v>
      </c>
      <c r="G210" s="856" t="s">
        <v>294</v>
      </c>
      <c r="H210" s="856" t="s">
        <v>431</v>
      </c>
      <c r="I210" s="854" t="s">
        <v>33</v>
      </c>
      <c r="J210" s="855"/>
      <c r="K210" s="733"/>
      <c r="L210" s="852" t="s">
        <v>553</v>
      </c>
      <c r="M210" s="853"/>
      <c r="N210" s="733"/>
      <c r="O210" s="852" t="s">
        <v>554</v>
      </c>
      <c r="P210" s="853"/>
      <c r="Q210" s="733"/>
      <c r="R210" s="852" t="s">
        <v>555</v>
      </c>
      <c r="S210" s="853"/>
      <c r="T210" s="733"/>
      <c r="U210" s="852" t="s">
        <v>556</v>
      </c>
      <c r="V210" s="853"/>
      <c r="W210" s="733"/>
      <c r="X210" s="852" t="s">
        <v>484</v>
      </c>
      <c r="Y210" s="853"/>
      <c r="Z210" s="733"/>
      <c r="AA210" s="852" t="s">
        <v>486</v>
      </c>
      <c r="AB210" s="853"/>
      <c r="AC210" s="733"/>
      <c r="AD210" s="852" t="s">
        <v>557</v>
      </c>
      <c r="AE210" s="853"/>
      <c r="AF210" s="733"/>
      <c r="AG210" s="852" t="s">
        <v>558</v>
      </c>
      <c r="AH210" s="853"/>
      <c r="AI210" s="733"/>
    </row>
    <row r="211" spans="1:35" s="367" customFormat="1" ht="18" customHeight="1">
      <c r="A211" s="733"/>
      <c r="B211" s="733"/>
      <c r="C211" s="733"/>
      <c r="D211" s="855"/>
      <c r="E211" s="855"/>
      <c r="F211" s="855"/>
      <c r="G211" s="857"/>
      <c r="H211" s="857"/>
      <c r="I211" s="699" t="s">
        <v>431</v>
      </c>
      <c r="J211" s="650" t="s">
        <v>503</v>
      </c>
      <c r="K211" s="688" t="s">
        <v>5</v>
      </c>
      <c r="L211" s="687" t="s">
        <v>431</v>
      </c>
      <c r="M211" s="586" t="s">
        <v>503</v>
      </c>
      <c r="N211" s="688" t="s">
        <v>5</v>
      </c>
      <c r="O211" s="687" t="s">
        <v>431</v>
      </c>
      <c r="P211" s="586" t="s">
        <v>503</v>
      </c>
      <c r="Q211" s="688" t="s">
        <v>5</v>
      </c>
      <c r="R211" s="687" t="s">
        <v>431</v>
      </c>
      <c r="S211" s="586" t="s">
        <v>503</v>
      </c>
      <c r="T211" s="688" t="s">
        <v>5</v>
      </c>
      <c r="U211" s="687" t="s">
        <v>431</v>
      </c>
      <c r="V211" s="586" t="s">
        <v>503</v>
      </c>
      <c r="W211" s="688" t="s">
        <v>5</v>
      </c>
      <c r="X211" s="687" t="s">
        <v>431</v>
      </c>
      <c r="Y211" s="586" t="s">
        <v>503</v>
      </c>
      <c r="Z211" s="688" t="s">
        <v>5</v>
      </c>
      <c r="AA211" s="699" t="s">
        <v>431</v>
      </c>
      <c r="AB211" s="650" t="s">
        <v>503</v>
      </c>
      <c r="AC211" s="688" t="s">
        <v>5</v>
      </c>
      <c r="AD211" s="687" t="s">
        <v>431</v>
      </c>
      <c r="AE211" s="586" t="s">
        <v>503</v>
      </c>
      <c r="AF211" s="688" t="s">
        <v>5</v>
      </c>
      <c r="AG211" s="687" t="s">
        <v>431</v>
      </c>
      <c r="AH211" s="586" t="s">
        <v>503</v>
      </c>
      <c r="AI211" s="688" t="s">
        <v>5</v>
      </c>
    </row>
    <row r="212" spans="1:35">
      <c r="A212" s="92"/>
      <c r="B212" s="847" t="s">
        <v>212</v>
      </c>
      <c r="C212" s="101" t="s">
        <v>89</v>
      </c>
      <c r="D212" s="94">
        <v>28422</v>
      </c>
      <c r="E212" s="94">
        <v>69089</v>
      </c>
      <c r="F212" s="94">
        <v>167289</v>
      </c>
      <c r="G212" s="94">
        <v>93430</v>
      </c>
      <c r="H212" s="94">
        <v>40661</v>
      </c>
      <c r="I212" s="642">
        <v>2326</v>
      </c>
      <c r="J212" s="642">
        <v>2370</v>
      </c>
      <c r="K212" s="255">
        <f>ROUND(((J212/I212-1)*100), 1)</f>
        <v>1.9</v>
      </c>
      <c r="L212" s="386">
        <f t="shared" ref="L212:M214" si="304">O212-I212</f>
        <v>1662</v>
      </c>
      <c r="M212" s="547">
        <f t="shared" si="304"/>
        <v>2561</v>
      </c>
      <c r="N212" s="255">
        <f>ROUND(((M212/L212-1)*100), 1)</f>
        <v>54.1</v>
      </c>
      <c r="O212" s="547">
        <v>3988</v>
      </c>
      <c r="P212" s="547">
        <v>4931</v>
      </c>
      <c r="Q212" s="255">
        <f>ROUND(((P212/O212-1)*100), 1)</f>
        <v>23.6</v>
      </c>
      <c r="R212" s="574">
        <f t="shared" ref="R212:R214" si="305">U212-O212</f>
        <v>2761</v>
      </c>
      <c r="S212" s="547">
        <f t="shared" ref="S212:S214" si="306">V212-P212</f>
        <v>4135</v>
      </c>
      <c r="T212" s="255">
        <f>ROUND(((S212/R212-1)*100), 1)</f>
        <v>49.8</v>
      </c>
      <c r="U212" s="547">
        <v>6749</v>
      </c>
      <c r="V212" s="547">
        <v>9066</v>
      </c>
      <c r="W212" s="255">
        <f>ROUND(((V212/U212-1)*100), 1)</f>
        <v>34.299999999999997</v>
      </c>
      <c r="X212" s="386">
        <f t="shared" ref="X212:Y225" si="307">AA212-U212</f>
        <v>7976</v>
      </c>
      <c r="Y212" s="547">
        <f t="shared" si="307"/>
        <v>3893</v>
      </c>
      <c r="Z212" s="255">
        <f>ROUND(((Y212/X212-1)*100), 1)</f>
        <v>-51.2</v>
      </c>
      <c r="AA212" s="642">
        <v>14725</v>
      </c>
      <c r="AB212" s="642">
        <v>12959</v>
      </c>
      <c r="AC212" s="255">
        <f>ROUND(((AB212/AA212-1)*100), 1)</f>
        <v>-12</v>
      </c>
      <c r="AD212" s="386">
        <f t="shared" ref="AD212:AE214" si="308">AG212-AA212</f>
        <v>6317</v>
      </c>
      <c r="AE212" s="574">
        <f t="shared" si="308"/>
        <v>3131</v>
      </c>
      <c r="AF212" s="255">
        <f>ROUND(((AE212/AD212-1)*100), 1)</f>
        <v>-50.4</v>
      </c>
      <c r="AG212" s="547">
        <v>21042</v>
      </c>
      <c r="AH212" s="547">
        <v>16090</v>
      </c>
      <c r="AI212" s="255">
        <f>ROUND(((AH212/AG212-1)*100), 1)</f>
        <v>-23.5</v>
      </c>
    </row>
    <row r="213" spans="1:35">
      <c r="A213" s="92" t="s">
        <v>126</v>
      </c>
      <c r="B213" s="846"/>
      <c r="C213" s="101" t="s">
        <v>120</v>
      </c>
      <c r="D213" s="94">
        <v>858</v>
      </c>
      <c r="E213" s="94">
        <v>902</v>
      </c>
      <c r="F213" s="94">
        <v>865</v>
      </c>
      <c r="G213" s="94">
        <v>789</v>
      </c>
      <c r="H213" s="94">
        <v>703</v>
      </c>
      <c r="I213" s="642">
        <v>29</v>
      </c>
      <c r="J213" s="642">
        <v>65</v>
      </c>
      <c r="K213" s="255">
        <f>ROUND(((J213/I213-1)*100), 1)</f>
        <v>124.1</v>
      </c>
      <c r="L213" s="386">
        <f t="shared" si="304"/>
        <v>21</v>
      </c>
      <c r="M213" s="547">
        <f t="shared" si="304"/>
        <v>39</v>
      </c>
      <c r="N213" s="255">
        <f>ROUND(((M213/L213-1)*100), 1)</f>
        <v>85.7</v>
      </c>
      <c r="O213" s="547">
        <v>50</v>
      </c>
      <c r="P213" s="547">
        <v>104</v>
      </c>
      <c r="Q213" s="255">
        <f>ROUND(((P213/O213-1)*100), 1)</f>
        <v>108</v>
      </c>
      <c r="R213" s="574">
        <f t="shared" si="305"/>
        <v>81</v>
      </c>
      <c r="S213" s="547">
        <f t="shared" si="306"/>
        <v>21</v>
      </c>
      <c r="T213" s="255">
        <f>ROUND(((S213/R213-1)*100), 1)</f>
        <v>-74.099999999999994</v>
      </c>
      <c r="U213" s="549">
        <v>131</v>
      </c>
      <c r="V213" s="547">
        <v>125</v>
      </c>
      <c r="W213" s="255">
        <f>ROUND(((V213/U213-1)*100), 1)</f>
        <v>-4.5999999999999996</v>
      </c>
      <c r="X213" s="386">
        <f t="shared" si="307"/>
        <v>77</v>
      </c>
      <c r="Y213" s="547">
        <f t="shared" si="307"/>
        <v>69</v>
      </c>
      <c r="Z213" s="255">
        <f>ROUND(((Y213/X213-1)*100), 1)</f>
        <v>-10.4</v>
      </c>
      <c r="AA213" s="642">
        <v>208</v>
      </c>
      <c r="AB213" s="642">
        <v>194</v>
      </c>
      <c r="AC213" s="255">
        <f>ROUND(((AB213/AA213-1)*100), 1)</f>
        <v>-6.7</v>
      </c>
      <c r="AD213" s="386">
        <f t="shared" si="308"/>
        <v>120</v>
      </c>
      <c r="AE213" s="574">
        <f t="shared" si="308"/>
        <v>84</v>
      </c>
      <c r="AF213" s="255">
        <f>ROUND(((AE213/AD213-1)*100), 1)</f>
        <v>-30</v>
      </c>
      <c r="AG213" s="547">
        <v>328</v>
      </c>
      <c r="AH213" s="547">
        <v>278</v>
      </c>
      <c r="AI213" s="255">
        <f>ROUND(((AH213/AG213-1)*100), 1)</f>
        <v>-15.2</v>
      </c>
    </row>
    <row r="214" spans="1:35">
      <c r="A214" s="92"/>
      <c r="B214" s="846"/>
      <c r="C214" s="101" t="s">
        <v>100</v>
      </c>
      <c r="D214" s="94">
        <v>3537</v>
      </c>
      <c r="E214" s="94">
        <v>635</v>
      </c>
      <c r="F214" s="94">
        <v>577</v>
      </c>
      <c r="G214" s="94">
        <v>609</v>
      </c>
      <c r="H214" s="94">
        <v>470</v>
      </c>
      <c r="I214" s="642">
        <v>29</v>
      </c>
      <c r="J214" s="642">
        <v>11</v>
      </c>
      <c r="K214" s="255">
        <f>ROUND(((J214/I214-1)*100), 1)</f>
        <v>-62.1</v>
      </c>
      <c r="L214" s="386">
        <f t="shared" si="304"/>
        <v>39</v>
      </c>
      <c r="M214" s="547">
        <f t="shared" si="304"/>
        <v>43</v>
      </c>
      <c r="N214" s="255">
        <f>ROUND(((M214/L214-1)*100), 1)</f>
        <v>10.3</v>
      </c>
      <c r="O214" s="547">
        <v>68</v>
      </c>
      <c r="P214" s="547">
        <v>54</v>
      </c>
      <c r="Q214" s="255">
        <f>ROUND(((P214/O214-1)*100), 1)</f>
        <v>-20.6</v>
      </c>
      <c r="R214" s="574">
        <f t="shared" si="305"/>
        <v>26</v>
      </c>
      <c r="S214" s="547">
        <f t="shared" si="306"/>
        <v>42</v>
      </c>
      <c r="T214" s="255">
        <f>ROUND(((S214/R214-1)*100), 1)</f>
        <v>61.5</v>
      </c>
      <c r="U214" s="547">
        <v>94</v>
      </c>
      <c r="V214" s="547">
        <v>96</v>
      </c>
      <c r="W214" s="255">
        <f>ROUND(((V214/U214-1)*100), 1)</f>
        <v>2.1</v>
      </c>
      <c r="X214" s="386">
        <f t="shared" si="307"/>
        <v>33</v>
      </c>
      <c r="Y214" s="547">
        <f t="shared" si="307"/>
        <v>64</v>
      </c>
      <c r="Z214" s="255">
        <f>ROUND(((Y214/X214-1)*100), 1)</f>
        <v>93.9</v>
      </c>
      <c r="AA214" s="642">
        <v>127</v>
      </c>
      <c r="AB214" s="642">
        <v>160</v>
      </c>
      <c r="AC214" s="255">
        <f>ROUND(((AB214/AA214-1)*100), 1)</f>
        <v>26</v>
      </c>
      <c r="AD214" s="386">
        <f t="shared" si="308"/>
        <v>41</v>
      </c>
      <c r="AE214" s="574">
        <f t="shared" si="308"/>
        <v>4</v>
      </c>
      <c r="AF214" s="255">
        <f>ROUND(((AE214/AD214-1)*100), 1)</f>
        <v>-90.2</v>
      </c>
      <c r="AG214" s="547">
        <v>168</v>
      </c>
      <c r="AH214" s="547">
        <v>164</v>
      </c>
      <c r="AI214" s="255">
        <f>ROUND(((AH214/AG214-1)*100), 1)</f>
        <v>-2.4</v>
      </c>
    </row>
    <row r="215" spans="1:35">
      <c r="A215" s="92"/>
      <c r="B215" s="846"/>
      <c r="C215" s="101" t="s">
        <v>105</v>
      </c>
      <c r="D215" s="94">
        <v>342</v>
      </c>
      <c r="E215" s="94">
        <v>365</v>
      </c>
      <c r="F215" s="94">
        <v>569</v>
      </c>
      <c r="G215" s="94">
        <v>431</v>
      </c>
      <c r="H215" s="94">
        <v>374</v>
      </c>
      <c r="I215" s="642">
        <v>0</v>
      </c>
      <c r="J215" s="642">
        <v>65</v>
      </c>
      <c r="K215" s="570">
        <v>0</v>
      </c>
      <c r="L215" s="574">
        <f t="shared" ref="L215:L224" si="309">O215-I215</f>
        <v>69</v>
      </c>
      <c r="M215" s="547">
        <f t="shared" ref="M215:M224" si="310">P215-J215</f>
        <v>63</v>
      </c>
      <c r="N215" s="541">
        <f t="shared" ref="N215:N224" si="311">ROUND(((M215/L215-1)*100), 1)</f>
        <v>-8.6999999999999993</v>
      </c>
      <c r="O215" s="547">
        <v>69</v>
      </c>
      <c r="P215" s="547">
        <v>128</v>
      </c>
      <c r="Q215" s="541">
        <f t="shared" ref="Q215:Q224" si="312">ROUND(((P215/O215-1)*100), 1)</f>
        <v>85.5</v>
      </c>
      <c r="R215" s="574">
        <f t="shared" ref="R215:R225" si="313">U215-O215</f>
        <v>68</v>
      </c>
      <c r="S215" s="547">
        <f t="shared" ref="S215:S225" si="314">V215-P215</f>
        <v>58</v>
      </c>
      <c r="T215" s="541">
        <f t="shared" ref="T215:T224" si="315">ROUND(((S215/R215-1)*100), 1)</f>
        <v>-14.7</v>
      </c>
      <c r="U215" s="547">
        <v>137</v>
      </c>
      <c r="V215" s="547">
        <v>186</v>
      </c>
      <c r="W215" s="255">
        <f>ROUND(((V215/U215-1)*100), 1)</f>
        <v>35.799999999999997</v>
      </c>
      <c r="X215" s="574">
        <f t="shared" ref="X215:X224" si="316">AA215-U215</f>
        <v>0</v>
      </c>
      <c r="Y215" s="547">
        <f t="shared" ref="Y215:Y224" si="317">AB215-V215</f>
        <v>70</v>
      </c>
      <c r="Z215" s="570">
        <v>0</v>
      </c>
      <c r="AA215" s="642">
        <v>137</v>
      </c>
      <c r="AB215" s="642">
        <v>256</v>
      </c>
      <c r="AC215" s="255">
        <f>ROUND(((AB215/AA215-1)*100), 1)</f>
        <v>86.9</v>
      </c>
      <c r="AD215" s="574">
        <f t="shared" ref="AD215:AE224" si="318">AG215-AA215</f>
        <v>35</v>
      </c>
      <c r="AE215" s="574">
        <f t="shared" si="318"/>
        <v>0</v>
      </c>
      <c r="AF215" s="541">
        <f t="shared" ref="AF215:AF223" si="319">ROUND(((AE215/AD215-1)*100), 1)</f>
        <v>-100</v>
      </c>
      <c r="AG215" s="547">
        <v>172</v>
      </c>
      <c r="AH215" s="547">
        <v>256</v>
      </c>
      <c r="AI215" s="255">
        <f>ROUND(((AH215/AG215-1)*100), 1)</f>
        <v>48.8</v>
      </c>
    </row>
    <row r="216" spans="1:35">
      <c r="A216" s="92"/>
      <c r="B216" s="846"/>
      <c r="C216" s="101" t="s">
        <v>109</v>
      </c>
      <c r="D216" s="94">
        <v>575</v>
      </c>
      <c r="E216" s="94">
        <v>512</v>
      </c>
      <c r="F216" s="94">
        <v>851</v>
      </c>
      <c r="G216" s="94">
        <v>355</v>
      </c>
      <c r="H216" s="94">
        <v>328</v>
      </c>
      <c r="I216" s="642">
        <v>28</v>
      </c>
      <c r="J216" s="642">
        <v>22</v>
      </c>
      <c r="K216" s="541">
        <f t="shared" ref="K216:K222" si="320">ROUND(((J216/I216-1)*100), 1)</f>
        <v>-21.4</v>
      </c>
      <c r="L216" s="574">
        <f t="shared" si="309"/>
        <v>0</v>
      </c>
      <c r="M216" s="547">
        <f t="shared" si="310"/>
        <v>86</v>
      </c>
      <c r="N216" s="570">
        <v>0</v>
      </c>
      <c r="O216" s="547">
        <v>28</v>
      </c>
      <c r="P216" s="547">
        <v>108</v>
      </c>
      <c r="Q216" s="541">
        <f t="shared" si="312"/>
        <v>285.7</v>
      </c>
      <c r="R216" s="574">
        <f t="shared" si="313"/>
        <v>0</v>
      </c>
      <c r="S216" s="547">
        <f t="shared" si="314"/>
        <v>28</v>
      </c>
      <c r="T216" s="570">
        <v>0</v>
      </c>
      <c r="U216" s="547">
        <v>28</v>
      </c>
      <c r="V216" s="547">
        <v>136</v>
      </c>
      <c r="W216" s="541">
        <f t="shared" ref="W216:W224" si="321">ROUND(((V216/U216-1)*100), 1)</f>
        <v>385.7</v>
      </c>
      <c r="X216" s="574">
        <f t="shared" si="316"/>
        <v>8</v>
      </c>
      <c r="Y216" s="547">
        <f t="shared" si="317"/>
        <v>10</v>
      </c>
      <c r="Z216" s="541">
        <f t="shared" ref="Z216:Z223" si="322">ROUND(((Y216/X216-1)*100), 1)</f>
        <v>25</v>
      </c>
      <c r="AA216" s="642">
        <v>36</v>
      </c>
      <c r="AB216" s="642">
        <v>146</v>
      </c>
      <c r="AC216" s="541">
        <f t="shared" ref="AC216:AC224" si="323">ROUND(((AB216/AA216-1)*100), 1)</f>
        <v>305.60000000000002</v>
      </c>
      <c r="AD216" s="574">
        <f t="shared" si="318"/>
        <v>90</v>
      </c>
      <c r="AE216" s="574">
        <f t="shared" si="318"/>
        <v>7</v>
      </c>
      <c r="AF216" s="541">
        <f t="shared" si="319"/>
        <v>-92.2</v>
      </c>
      <c r="AG216" s="547">
        <v>126</v>
      </c>
      <c r="AH216" s="547">
        <v>153</v>
      </c>
      <c r="AI216" s="541">
        <f t="shared" ref="AI216:AI223" si="324">ROUND(((AH216/AG216-1)*100), 1)</f>
        <v>21.4</v>
      </c>
    </row>
    <row r="217" spans="1:35">
      <c r="A217" s="92"/>
      <c r="B217" s="846"/>
      <c r="C217" s="329" t="s">
        <v>45</v>
      </c>
      <c r="D217" s="325">
        <v>827</v>
      </c>
      <c r="E217" s="325">
        <v>474</v>
      </c>
      <c r="F217" s="325">
        <v>211</v>
      </c>
      <c r="G217" s="325">
        <v>0</v>
      </c>
      <c r="H217" s="94">
        <v>66</v>
      </c>
      <c r="I217" s="646">
        <v>0</v>
      </c>
      <c r="J217" s="642">
        <v>0</v>
      </c>
      <c r="K217" s="570">
        <v>0</v>
      </c>
      <c r="L217" s="574">
        <f t="shared" si="309"/>
        <v>0</v>
      </c>
      <c r="M217" s="547">
        <f t="shared" si="310"/>
        <v>0</v>
      </c>
      <c r="N217" s="570">
        <v>0</v>
      </c>
      <c r="O217" s="547">
        <v>0</v>
      </c>
      <c r="P217" s="549">
        <v>0</v>
      </c>
      <c r="Q217" s="570">
        <v>0</v>
      </c>
      <c r="R217" s="574">
        <f t="shared" si="313"/>
        <v>0</v>
      </c>
      <c r="S217" s="547">
        <f t="shared" si="314"/>
        <v>0</v>
      </c>
      <c r="T217" s="570">
        <v>0</v>
      </c>
      <c r="U217" s="547">
        <v>0</v>
      </c>
      <c r="V217" s="547">
        <v>0</v>
      </c>
      <c r="W217" s="570">
        <v>0</v>
      </c>
      <c r="X217" s="574">
        <f t="shared" si="316"/>
        <v>0</v>
      </c>
      <c r="Y217" s="547">
        <f t="shared" si="317"/>
        <v>27</v>
      </c>
      <c r="Z217" s="570">
        <v>0</v>
      </c>
      <c r="AA217" s="642">
        <v>0</v>
      </c>
      <c r="AB217" s="642">
        <v>27</v>
      </c>
      <c r="AC217" s="570">
        <v>0</v>
      </c>
      <c r="AD217" s="574">
        <f t="shared" si="318"/>
        <v>0</v>
      </c>
      <c r="AE217" s="574">
        <f t="shared" si="318"/>
        <v>7</v>
      </c>
      <c r="AF217" s="570">
        <v>0</v>
      </c>
      <c r="AG217" s="547">
        <v>0</v>
      </c>
      <c r="AH217" s="547">
        <v>34</v>
      </c>
      <c r="AI217" s="570">
        <v>0</v>
      </c>
    </row>
    <row r="218" spans="1:35">
      <c r="A218" s="92"/>
      <c r="B218" s="846"/>
      <c r="C218" s="101" t="s">
        <v>106</v>
      </c>
      <c r="D218" s="94">
        <v>117</v>
      </c>
      <c r="E218" s="94">
        <v>218</v>
      </c>
      <c r="F218" s="94">
        <v>43</v>
      </c>
      <c r="G218" s="94">
        <v>62</v>
      </c>
      <c r="H218" s="94">
        <v>53</v>
      </c>
      <c r="I218" s="642">
        <v>0</v>
      </c>
      <c r="J218" s="642">
        <v>2</v>
      </c>
      <c r="K218" s="570">
        <v>0</v>
      </c>
      <c r="L218" s="574">
        <f t="shared" si="309"/>
        <v>1</v>
      </c>
      <c r="M218" s="547">
        <f t="shared" si="310"/>
        <v>61</v>
      </c>
      <c r="N218" s="541">
        <f t="shared" si="311"/>
        <v>6000</v>
      </c>
      <c r="O218" s="547">
        <v>1</v>
      </c>
      <c r="P218" s="547">
        <v>63</v>
      </c>
      <c r="Q218" s="541">
        <f t="shared" si="312"/>
        <v>6200</v>
      </c>
      <c r="R218" s="574">
        <f t="shared" si="313"/>
        <v>2</v>
      </c>
      <c r="S218" s="547">
        <f t="shared" si="314"/>
        <v>3</v>
      </c>
      <c r="T218" s="541">
        <f t="shared" si="315"/>
        <v>50</v>
      </c>
      <c r="U218" s="547">
        <v>3</v>
      </c>
      <c r="V218" s="547">
        <v>66</v>
      </c>
      <c r="W218" s="541">
        <f t="shared" si="321"/>
        <v>2100</v>
      </c>
      <c r="X218" s="574">
        <f t="shared" si="316"/>
        <v>5</v>
      </c>
      <c r="Y218" s="547">
        <f t="shared" si="317"/>
        <v>25</v>
      </c>
      <c r="Z218" s="541">
        <f t="shared" si="322"/>
        <v>400</v>
      </c>
      <c r="AA218" s="642">
        <v>8</v>
      </c>
      <c r="AB218" s="642">
        <v>91</v>
      </c>
      <c r="AC218" s="541">
        <f t="shared" si="323"/>
        <v>1037.5</v>
      </c>
      <c r="AD218" s="574">
        <f t="shared" si="318"/>
        <v>1</v>
      </c>
      <c r="AE218" s="574">
        <f t="shared" si="318"/>
        <v>9</v>
      </c>
      <c r="AF218" s="541">
        <f t="shared" si="319"/>
        <v>800</v>
      </c>
      <c r="AG218" s="547">
        <v>9</v>
      </c>
      <c r="AH218" s="547">
        <v>100</v>
      </c>
      <c r="AI218" s="541">
        <f t="shared" si="324"/>
        <v>1011.1</v>
      </c>
    </row>
    <row r="219" spans="1:35" s="605" customFormat="1">
      <c r="A219" s="676"/>
      <c r="B219" s="846"/>
      <c r="C219" s="101" t="s">
        <v>533</v>
      </c>
      <c r="D219" s="94">
        <v>0</v>
      </c>
      <c r="E219" s="94">
        <v>0</v>
      </c>
      <c r="F219" s="94">
        <v>1</v>
      </c>
      <c r="G219" s="94">
        <v>5</v>
      </c>
      <c r="H219" s="94">
        <v>39</v>
      </c>
      <c r="I219" s="642">
        <v>19</v>
      </c>
      <c r="J219" s="642">
        <v>0</v>
      </c>
      <c r="K219" s="541">
        <f t="shared" si="320"/>
        <v>-100</v>
      </c>
      <c r="L219" s="574">
        <f t="shared" si="309"/>
        <v>0</v>
      </c>
      <c r="M219" s="547">
        <f t="shared" si="310"/>
        <v>0</v>
      </c>
      <c r="N219" s="570">
        <v>0</v>
      </c>
      <c r="O219" s="547">
        <v>19</v>
      </c>
      <c r="P219" s="547">
        <v>0</v>
      </c>
      <c r="Q219" s="541">
        <f t="shared" si="312"/>
        <v>-100</v>
      </c>
      <c r="R219" s="574">
        <f t="shared" si="313"/>
        <v>0</v>
      </c>
      <c r="S219" s="547">
        <f t="shared" si="314"/>
        <v>0</v>
      </c>
      <c r="T219" s="570">
        <v>0</v>
      </c>
      <c r="U219" s="547">
        <v>19</v>
      </c>
      <c r="V219" s="547">
        <v>0</v>
      </c>
      <c r="W219" s="541">
        <f t="shared" si="321"/>
        <v>-100</v>
      </c>
      <c r="X219" s="574">
        <f t="shared" si="316"/>
        <v>0</v>
      </c>
      <c r="Y219" s="547">
        <f t="shared" si="317"/>
        <v>0</v>
      </c>
      <c r="Z219" s="570">
        <v>0</v>
      </c>
      <c r="AA219" s="642">
        <v>19</v>
      </c>
      <c r="AB219" s="642">
        <v>0</v>
      </c>
      <c r="AC219" s="541">
        <f t="shared" si="323"/>
        <v>-100</v>
      </c>
      <c r="AD219" s="574">
        <f t="shared" si="318"/>
        <v>20</v>
      </c>
      <c r="AE219" s="574">
        <f t="shared" si="318"/>
        <v>0</v>
      </c>
      <c r="AF219" s="541">
        <f t="shared" si="319"/>
        <v>-100</v>
      </c>
      <c r="AG219" s="547">
        <v>39</v>
      </c>
      <c r="AH219" s="547">
        <v>0</v>
      </c>
      <c r="AI219" s="541">
        <f t="shared" si="324"/>
        <v>-100</v>
      </c>
    </row>
    <row r="220" spans="1:35" s="605" customFormat="1">
      <c r="A220" s="676"/>
      <c r="B220" s="846"/>
      <c r="C220" s="101" t="s">
        <v>538</v>
      </c>
      <c r="D220" s="94">
        <v>0</v>
      </c>
      <c r="E220" s="94">
        <v>1</v>
      </c>
      <c r="F220" s="94">
        <v>0</v>
      </c>
      <c r="G220" s="94">
        <v>0</v>
      </c>
      <c r="H220" s="94">
        <v>30</v>
      </c>
      <c r="I220" s="642">
        <v>15</v>
      </c>
      <c r="J220" s="642">
        <v>0</v>
      </c>
      <c r="K220" s="541">
        <f t="shared" si="320"/>
        <v>-100</v>
      </c>
      <c r="L220" s="574">
        <f t="shared" si="309"/>
        <v>0</v>
      </c>
      <c r="M220" s="547">
        <f t="shared" si="310"/>
        <v>17</v>
      </c>
      <c r="N220" s="570">
        <v>0</v>
      </c>
      <c r="O220" s="547">
        <v>15</v>
      </c>
      <c r="P220" s="547">
        <v>17</v>
      </c>
      <c r="Q220" s="541">
        <f t="shared" si="312"/>
        <v>13.3</v>
      </c>
      <c r="R220" s="574">
        <f t="shared" si="313"/>
        <v>0</v>
      </c>
      <c r="S220" s="547">
        <f t="shared" si="314"/>
        <v>15</v>
      </c>
      <c r="T220" s="570">
        <v>0</v>
      </c>
      <c r="U220" s="547">
        <v>15</v>
      </c>
      <c r="V220" s="547">
        <v>32</v>
      </c>
      <c r="W220" s="541">
        <f t="shared" si="321"/>
        <v>113.3</v>
      </c>
      <c r="X220" s="574">
        <f t="shared" si="316"/>
        <v>1</v>
      </c>
      <c r="Y220" s="547">
        <f t="shared" si="317"/>
        <v>0</v>
      </c>
      <c r="Z220" s="541">
        <f t="shared" si="322"/>
        <v>-100</v>
      </c>
      <c r="AA220" s="642">
        <v>16</v>
      </c>
      <c r="AB220" s="642">
        <v>32</v>
      </c>
      <c r="AC220" s="541">
        <f t="shared" si="323"/>
        <v>100</v>
      </c>
      <c r="AD220" s="574">
        <f t="shared" si="318"/>
        <v>0</v>
      </c>
      <c r="AE220" s="574">
        <f t="shared" si="318"/>
        <v>0</v>
      </c>
      <c r="AF220" s="570">
        <v>0</v>
      </c>
      <c r="AG220" s="547">
        <v>16</v>
      </c>
      <c r="AH220" s="547">
        <v>32</v>
      </c>
      <c r="AI220" s="541">
        <f t="shared" si="324"/>
        <v>100</v>
      </c>
    </row>
    <row r="221" spans="1:35">
      <c r="A221" s="92"/>
      <c r="B221" s="846"/>
      <c r="C221" s="329" t="s">
        <v>452</v>
      </c>
      <c r="D221" s="325">
        <v>11</v>
      </c>
      <c r="E221" s="325">
        <v>36</v>
      </c>
      <c r="F221" s="325">
        <v>26</v>
      </c>
      <c r="G221" s="325">
        <v>28</v>
      </c>
      <c r="H221" s="94">
        <v>23</v>
      </c>
      <c r="I221" s="646">
        <v>6</v>
      </c>
      <c r="J221" s="642">
        <v>4</v>
      </c>
      <c r="K221" s="541">
        <f t="shared" si="320"/>
        <v>-33.299999999999997</v>
      </c>
      <c r="L221" s="574">
        <f t="shared" si="309"/>
        <v>0</v>
      </c>
      <c r="M221" s="547">
        <f t="shared" si="310"/>
        <v>5</v>
      </c>
      <c r="N221" s="570">
        <v>0</v>
      </c>
      <c r="O221" s="547">
        <v>6</v>
      </c>
      <c r="P221" s="549">
        <v>9</v>
      </c>
      <c r="Q221" s="541">
        <f t="shared" si="312"/>
        <v>50</v>
      </c>
      <c r="R221" s="574">
        <f t="shared" si="313"/>
        <v>0</v>
      </c>
      <c r="S221" s="547">
        <f t="shared" si="314"/>
        <v>4</v>
      </c>
      <c r="T221" s="570">
        <v>0</v>
      </c>
      <c r="U221" s="547">
        <v>6</v>
      </c>
      <c r="V221" s="547">
        <v>13</v>
      </c>
      <c r="W221" s="541">
        <f t="shared" si="321"/>
        <v>116.7</v>
      </c>
      <c r="X221" s="574">
        <f t="shared" si="316"/>
        <v>0</v>
      </c>
      <c r="Y221" s="547">
        <f t="shared" si="317"/>
        <v>4</v>
      </c>
      <c r="Z221" s="570">
        <v>0</v>
      </c>
      <c r="AA221" s="642">
        <v>6</v>
      </c>
      <c r="AB221" s="642">
        <v>17</v>
      </c>
      <c r="AC221" s="541">
        <f t="shared" si="323"/>
        <v>183.3</v>
      </c>
      <c r="AD221" s="574">
        <f t="shared" si="318"/>
        <v>0</v>
      </c>
      <c r="AE221" s="574">
        <f t="shared" si="318"/>
        <v>3</v>
      </c>
      <c r="AF221" s="570">
        <v>0</v>
      </c>
      <c r="AG221" s="547">
        <v>6</v>
      </c>
      <c r="AH221" s="547">
        <v>20</v>
      </c>
      <c r="AI221" s="541">
        <f t="shared" si="324"/>
        <v>233.3</v>
      </c>
    </row>
    <row r="222" spans="1:35" s="167" customFormat="1">
      <c r="A222" s="322"/>
      <c r="B222" s="846"/>
      <c r="C222" s="101" t="s">
        <v>91</v>
      </c>
      <c r="D222" s="94">
        <v>49</v>
      </c>
      <c r="E222" s="94">
        <v>99</v>
      </c>
      <c r="F222" s="94">
        <v>70</v>
      </c>
      <c r="G222" s="94">
        <v>95</v>
      </c>
      <c r="H222" s="94">
        <v>18</v>
      </c>
      <c r="I222" s="642">
        <v>1</v>
      </c>
      <c r="J222" s="642">
        <v>1</v>
      </c>
      <c r="K222" s="541">
        <f t="shared" si="320"/>
        <v>0</v>
      </c>
      <c r="L222" s="574">
        <f t="shared" si="309"/>
        <v>12</v>
      </c>
      <c r="M222" s="547">
        <f t="shared" si="310"/>
        <v>0</v>
      </c>
      <c r="N222" s="541">
        <f t="shared" si="311"/>
        <v>-100</v>
      </c>
      <c r="O222" s="547">
        <v>13</v>
      </c>
      <c r="P222" s="547">
        <v>1</v>
      </c>
      <c r="Q222" s="541">
        <f t="shared" si="312"/>
        <v>-92.3</v>
      </c>
      <c r="R222" s="574">
        <f t="shared" si="313"/>
        <v>0</v>
      </c>
      <c r="S222" s="547">
        <f t="shared" si="314"/>
        <v>1</v>
      </c>
      <c r="T222" s="570">
        <v>0</v>
      </c>
      <c r="U222" s="547">
        <v>13</v>
      </c>
      <c r="V222" s="547">
        <v>2</v>
      </c>
      <c r="W222" s="541">
        <f t="shared" si="321"/>
        <v>-84.6</v>
      </c>
      <c r="X222" s="574">
        <f t="shared" si="316"/>
        <v>0</v>
      </c>
      <c r="Y222" s="547">
        <f t="shared" si="317"/>
        <v>1</v>
      </c>
      <c r="Z222" s="570">
        <v>0</v>
      </c>
      <c r="AA222" s="642">
        <v>13</v>
      </c>
      <c r="AB222" s="642">
        <v>3</v>
      </c>
      <c r="AC222" s="541">
        <f t="shared" si="323"/>
        <v>-76.900000000000006</v>
      </c>
      <c r="AD222" s="574">
        <f t="shared" si="318"/>
        <v>0</v>
      </c>
      <c r="AE222" s="574">
        <f t="shared" si="318"/>
        <v>5</v>
      </c>
      <c r="AF222" s="570">
        <v>0</v>
      </c>
      <c r="AG222" s="547">
        <v>13</v>
      </c>
      <c r="AH222" s="547">
        <v>8</v>
      </c>
      <c r="AI222" s="541">
        <f t="shared" si="324"/>
        <v>-38.5</v>
      </c>
    </row>
    <row r="223" spans="1:35" s="167" customFormat="1">
      <c r="A223" s="322"/>
      <c r="B223" s="846"/>
      <c r="C223" s="329" t="s">
        <v>93</v>
      </c>
      <c r="D223" s="325">
        <v>105</v>
      </c>
      <c r="E223" s="325">
        <v>86</v>
      </c>
      <c r="F223" s="325">
        <v>29</v>
      </c>
      <c r="G223" s="325">
        <v>12</v>
      </c>
      <c r="H223" s="94">
        <v>5</v>
      </c>
      <c r="I223" s="646">
        <v>0</v>
      </c>
      <c r="J223" s="642">
        <v>0</v>
      </c>
      <c r="K223" s="570">
        <v>0</v>
      </c>
      <c r="L223" s="574">
        <f t="shared" si="309"/>
        <v>0</v>
      </c>
      <c r="M223" s="547">
        <f t="shared" si="310"/>
        <v>0</v>
      </c>
      <c r="N223" s="570">
        <v>0</v>
      </c>
      <c r="O223" s="547">
        <v>0</v>
      </c>
      <c r="P223" s="549">
        <v>0</v>
      </c>
      <c r="Q223" s="570">
        <v>0</v>
      </c>
      <c r="R223" s="574">
        <f t="shared" si="313"/>
        <v>0</v>
      </c>
      <c r="S223" s="547">
        <f t="shared" si="314"/>
        <v>120</v>
      </c>
      <c r="T223" s="570">
        <v>0</v>
      </c>
      <c r="U223" s="547">
        <v>0</v>
      </c>
      <c r="V223" s="547">
        <v>120</v>
      </c>
      <c r="W223" s="570">
        <v>0</v>
      </c>
      <c r="X223" s="574">
        <f t="shared" si="316"/>
        <v>3</v>
      </c>
      <c r="Y223" s="547">
        <f t="shared" si="317"/>
        <v>1</v>
      </c>
      <c r="Z223" s="541">
        <f t="shared" si="322"/>
        <v>-66.7</v>
      </c>
      <c r="AA223" s="642">
        <v>3</v>
      </c>
      <c r="AB223" s="642">
        <v>121</v>
      </c>
      <c r="AC223" s="541">
        <f t="shared" si="323"/>
        <v>3933.3</v>
      </c>
      <c r="AD223" s="574">
        <f t="shared" si="318"/>
        <v>2</v>
      </c>
      <c r="AE223" s="574">
        <f t="shared" si="318"/>
        <v>1</v>
      </c>
      <c r="AF223" s="541">
        <f t="shared" si="319"/>
        <v>-50</v>
      </c>
      <c r="AG223" s="547">
        <v>5</v>
      </c>
      <c r="AH223" s="547">
        <v>122</v>
      </c>
      <c r="AI223" s="541">
        <f t="shared" si="324"/>
        <v>2340</v>
      </c>
    </row>
    <row r="224" spans="1:35" s="167" customFormat="1">
      <c r="A224" s="322"/>
      <c r="B224" s="846"/>
      <c r="C224" s="329" t="s">
        <v>94</v>
      </c>
      <c r="D224" s="325">
        <v>228</v>
      </c>
      <c r="E224" s="325">
        <v>686</v>
      </c>
      <c r="F224" s="325">
        <v>514</v>
      </c>
      <c r="G224" s="325">
        <v>20</v>
      </c>
      <c r="H224" s="94">
        <v>3</v>
      </c>
      <c r="I224" s="646">
        <v>0</v>
      </c>
      <c r="J224" s="642">
        <v>0</v>
      </c>
      <c r="K224" s="570">
        <v>0</v>
      </c>
      <c r="L224" s="574">
        <f t="shared" si="309"/>
        <v>1</v>
      </c>
      <c r="M224" s="547">
        <f t="shared" si="310"/>
        <v>0</v>
      </c>
      <c r="N224" s="541">
        <f t="shared" si="311"/>
        <v>-100</v>
      </c>
      <c r="O224" s="547">
        <v>1</v>
      </c>
      <c r="P224" s="549">
        <v>0</v>
      </c>
      <c r="Q224" s="541">
        <f t="shared" si="312"/>
        <v>-100</v>
      </c>
      <c r="R224" s="574">
        <f t="shared" si="313"/>
        <v>2</v>
      </c>
      <c r="S224" s="547">
        <f t="shared" si="314"/>
        <v>0</v>
      </c>
      <c r="T224" s="541">
        <f t="shared" si="315"/>
        <v>-100</v>
      </c>
      <c r="U224" s="547">
        <v>3</v>
      </c>
      <c r="V224" s="547">
        <v>0</v>
      </c>
      <c r="W224" s="541">
        <f t="shared" si="321"/>
        <v>-100</v>
      </c>
      <c r="X224" s="574">
        <f t="shared" si="316"/>
        <v>0</v>
      </c>
      <c r="Y224" s="547">
        <f t="shared" si="317"/>
        <v>0</v>
      </c>
      <c r="Z224" s="570">
        <v>0</v>
      </c>
      <c r="AA224" s="642">
        <v>3</v>
      </c>
      <c r="AB224" s="642">
        <v>0</v>
      </c>
      <c r="AC224" s="541">
        <f t="shared" si="323"/>
        <v>-100</v>
      </c>
      <c r="AD224" s="574">
        <f t="shared" si="318"/>
        <v>0</v>
      </c>
      <c r="AE224" s="574">
        <f t="shared" si="318"/>
        <v>0</v>
      </c>
      <c r="AF224" s="570">
        <v>0</v>
      </c>
      <c r="AG224" s="547">
        <v>3</v>
      </c>
      <c r="AH224" s="547">
        <v>0</v>
      </c>
      <c r="AI224" s="544">
        <f>ROUND(((AH224/AG224-1)*100), 1)</f>
        <v>-100</v>
      </c>
    </row>
    <row r="225" spans="1:35" s="167" customFormat="1">
      <c r="A225" s="322"/>
      <c r="B225" s="846"/>
      <c r="C225" s="101" t="s">
        <v>115</v>
      </c>
      <c r="D225" s="94">
        <v>19</v>
      </c>
      <c r="E225" s="94">
        <v>61</v>
      </c>
      <c r="F225" s="94">
        <v>13</v>
      </c>
      <c r="G225" s="94">
        <v>38</v>
      </c>
      <c r="H225" s="94">
        <v>1</v>
      </c>
      <c r="I225" s="642">
        <v>0</v>
      </c>
      <c r="J225" s="642">
        <v>3</v>
      </c>
      <c r="K225" s="570">
        <v>0</v>
      </c>
      <c r="L225" s="574">
        <f>O225-I225</f>
        <v>0</v>
      </c>
      <c r="M225" s="547">
        <f>P225-J225</f>
        <v>0</v>
      </c>
      <c r="N225" s="570">
        <v>0</v>
      </c>
      <c r="O225" s="547">
        <v>0</v>
      </c>
      <c r="P225" s="547">
        <v>3</v>
      </c>
      <c r="Q225" s="570">
        <v>0</v>
      </c>
      <c r="R225" s="574">
        <f t="shared" si="313"/>
        <v>0</v>
      </c>
      <c r="S225" s="547">
        <f t="shared" si="314"/>
        <v>0</v>
      </c>
      <c r="T225" s="570">
        <v>0</v>
      </c>
      <c r="U225" s="547">
        <v>0</v>
      </c>
      <c r="V225" s="547">
        <v>3</v>
      </c>
      <c r="W225" s="570">
        <v>0</v>
      </c>
      <c r="X225" s="574">
        <f>AA225-U225</f>
        <v>0</v>
      </c>
      <c r="Y225" s="547">
        <f t="shared" si="307"/>
        <v>0</v>
      </c>
      <c r="Z225" s="570">
        <v>0</v>
      </c>
      <c r="AA225" s="642">
        <v>0</v>
      </c>
      <c r="AB225" s="642">
        <v>3</v>
      </c>
      <c r="AC225" s="570">
        <v>0</v>
      </c>
      <c r="AD225" s="574">
        <f>AG225-AA225</f>
        <v>0</v>
      </c>
      <c r="AE225" s="574">
        <f>AH225-AB225</f>
        <v>0</v>
      </c>
      <c r="AF225" s="570">
        <v>0</v>
      </c>
      <c r="AG225" s="547">
        <v>0</v>
      </c>
      <c r="AH225" s="547">
        <v>3</v>
      </c>
      <c r="AI225" s="570">
        <v>0</v>
      </c>
    </row>
    <row r="226" spans="1:35" s="167" customFormat="1">
      <c r="A226" s="322"/>
      <c r="B226" s="846"/>
      <c r="C226" s="329" t="s">
        <v>75</v>
      </c>
      <c r="D226" s="325">
        <f t="shared" ref="D226:G226" si="325">D227-SUM(D212:D225)</f>
        <v>153</v>
      </c>
      <c r="E226" s="325">
        <f t="shared" si="325"/>
        <v>52</v>
      </c>
      <c r="F226" s="325">
        <f t="shared" si="325"/>
        <v>36</v>
      </c>
      <c r="G226" s="325">
        <f t="shared" si="325"/>
        <v>16</v>
      </c>
      <c r="H226" s="325">
        <f>H227-SUM(H212:H225)</f>
        <v>14</v>
      </c>
      <c r="I226" s="646">
        <f t="shared" ref="I226" si="326">I227-SUM(I212:I225)</f>
        <v>2</v>
      </c>
      <c r="J226" s="646">
        <f t="shared" ref="J226" si="327">J227-SUM(J212:J225)</f>
        <v>0</v>
      </c>
      <c r="K226" s="330">
        <f t="shared" ref="K226:K227" si="328">ROUND(((J226/I226-1)*100), 1)</f>
        <v>-100</v>
      </c>
      <c r="L226" s="393">
        <f>L227-SUM(L212:L225)</f>
        <v>0</v>
      </c>
      <c r="M226" s="549">
        <f>M227-SUM(M212:M225)</f>
        <v>2</v>
      </c>
      <c r="N226" s="466">
        <v>0</v>
      </c>
      <c r="O226" s="549">
        <f>O227-SUM(O212:O225)</f>
        <v>2</v>
      </c>
      <c r="P226" s="549">
        <f t="shared" ref="P226" si="329">P227-SUM(P212:P225)</f>
        <v>2</v>
      </c>
      <c r="Q226" s="330">
        <f t="shared" ref="Q226:Q227" si="330">ROUND(((P226/O226-1)*100), 1)</f>
        <v>0</v>
      </c>
      <c r="R226" s="575">
        <f>R227-SUM(R212:R225)</f>
        <v>0</v>
      </c>
      <c r="S226" s="549">
        <f>S227-SUM(S212:S225)</f>
        <v>2</v>
      </c>
      <c r="T226" s="543">
        <v>0</v>
      </c>
      <c r="U226" s="549">
        <f>U227-SUM(U212:U225)</f>
        <v>2</v>
      </c>
      <c r="V226" s="549">
        <f t="shared" ref="V226" si="331">V227-SUM(V212:V225)</f>
        <v>4</v>
      </c>
      <c r="W226" s="330">
        <f t="shared" ref="W226:W227" si="332">ROUND(((V226/U226-1)*100), 1)</f>
        <v>100</v>
      </c>
      <c r="X226" s="393">
        <f>X227-SUM(X212:X225)</f>
        <v>6</v>
      </c>
      <c r="Y226" s="549">
        <f>Y227-SUM(Y212:Y225)</f>
        <v>11</v>
      </c>
      <c r="Z226" s="330">
        <f t="shared" ref="Z226:Z227" si="333">ROUND(((Y226/X226-1)*100), 1)</f>
        <v>83.3</v>
      </c>
      <c r="AA226" s="646">
        <f>AA227-SUM(AA212:AA225)</f>
        <v>8</v>
      </c>
      <c r="AB226" s="646">
        <f t="shared" ref="AB226" si="334">AB227-SUM(AB212:AB225)</f>
        <v>15</v>
      </c>
      <c r="AC226" s="330">
        <f t="shared" ref="AC226:AC227" si="335">ROUND(((AB226/AA226-1)*100), 1)</f>
        <v>87.5</v>
      </c>
      <c r="AD226" s="393">
        <f>AD227-SUM(AD212:AD225)</f>
        <v>0</v>
      </c>
      <c r="AE226" s="575">
        <f>AE227-SUM(AE212:AE225)</f>
        <v>0</v>
      </c>
      <c r="AF226" s="543">
        <v>0</v>
      </c>
      <c r="AG226" s="549">
        <f>AG227-SUM(AG212:AG225)</f>
        <v>8</v>
      </c>
      <c r="AH226" s="549">
        <f t="shared" ref="AH226" si="336">AH227-SUM(AH212:AH225)</f>
        <v>15</v>
      </c>
      <c r="AI226" s="330">
        <f t="shared" ref="AI226:AI227" si="337">ROUND(((AH226/AG226-1)*100), 1)</f>
        <v>87.5</v>
      </c>
    </row>
    <row r="227" spans="1:35" s="167" customFormat="1">
      <c r="A227" s="322"/>
      <c r="B227" s="748"/>
      <c r="C227" s="334" t="s">
        <v>216</v>
      </c>
      <c r="D227" s="335">
        <v>35243</v>
      </c>
      <c r="E227" s="335">
        <v>73216</v>
      </c>
      <c r="F227" s="335">
        <v>171094</v>
      </c>
      <c r="G227" s="435">
        <v>95890</v>
      </c>
      <c r="H227" s="335">
        <v>42788</v>
      </c>
      <c r="I227" s="647">
        <v>2455</v>
      </c>
      <c r="J227" s="647">
        <v>2543</v>
      </c>
      <c r="K227" s="336">
        <f t="shared" si="328"/>
        <v>3.6</v>
      </c>
      <c r="L227" s="436">
        <f t="shared" ref="L227:M227" si="338">O227-I227</f>
        <v>1805</v>
      </c>
      <c r="M227" s="557">
        <f t="shared" si="338"/>
        <v>2877</v>
      </c>
      <c r="N227" s="336">
        <f t="shared" ref="N227" si="339">ROUND(((M227/L227-1)*100), 1)</f>
        <v>59.4</v>
      </c>
      <c r="O227" s="557">
        <v>4260</v>
      </c>
      <c r="P227" s="557">
        <v>5420</v>
      </c>
      <c r="Q227" s="336">
        <f t="shared" si="330"/>
        <v>27.2</v>
      </c>
      <c r="R227" s="562">
        <f t="shared" ref="R227:R233" si="340">U227-O227</f>
        <v>2940</v>
      </c>
      <c r="S227" s="557">
        <f t="shared" ref="S227:S233" si="341">V227-P227</f>
        <v>4429</v>
      </c>
      <c r="T227" s="336">
        <f t="shared" ref="T227" si="342">ROUND(((S227/R227-1)*100), 1)</f>
        <v>50.6</v>
      </c>
      <c r="U227" s="557">
        <v>7200</v>
      </c>
      <c r="V227" s="557">
        <v>9849</v>
      </c>
      <c r="W227" s="336">
        <f t="shared" si="332"/>
        <v>36.799999999999997</v>
      </c>
      <c r="X227" s="436">
        <f t="shared" ref="X227:Y235" si="343">AA227-U227</f>
        <v>8109</v>
      </c>
      <c r="Y227" s="557">
        <f t="shared" si="343"/>
        <v>4175</v>
      </c>
      <c r="Z227" s="336">
        <f t="shared" si="333"/>
        <v>-48.5</v>
      </c>
      <c r="AA227" s="647">
        <v>15309</v>
      </c>
      <c r="AB227" s="647">
        <v>14024</v>
      </c>
      <c r="AC227" s="336">
        <f t="shared" si="335"/>
        <v>-8.4</v>
      </c>
      <c r="AD227" s="436">
        <f t="shared" ref="AD227:AE227" si="344">AG227-AA227</f>
        <v>6626</v>
      </c>
      <c r="AE227" s="562">
        <f t="shared" si="344"/>
        <v>3251</v>
      </c>
      <c r="AF227" s="336">
        <f t="shared" ref="AF227" si="345">ROUND(((AE227/AD227-1)*100), 1)</f>
        <v>-50.9</v>
      </c>
      <c r="AG227" s="557">
        <v>21935</v>
      </c>
      <c r="AH227" s="557">
        <v>17275</v>
      </c>
      <c r="AI227" s="336">
        <f t="shared" si="337"/>
        <v>-21.2</v>
      </c>
    </row>
    <row r="228" spans="1:35" s="167" customFormat="1">
      <c r="A228" s="322"/>
      <c r="B228" s="846" t="s">
        <v>214</v>
      </c>
      <c r="C228" s="329" t="s">
        <v>43</v>
      </c>
      <c r="D228" s="325">
        <v>84262</v>
      </c>
      <c r="E228" s="325">
        <v>107938</v>
      </c>
      <c r="F228" s="325">
        <v>141157</v>
      </c>
      <c r="G228" s="325">
        <v>167354</v>
      </c>
      <c r="H228" s="681">
        <v>187153</v>
      </c>
      <c r="I228" s="646">
        <v>15609</v>
      </c>
      <c r="J228" s="646">
        <v>15445</v>
      </c>
      <c r="K228" s="330">
        <f t="shared" ref="K228:K245" si="346">ROUND(((J228/I228-1)*100), 1)</f>
        <v>-1.1000000000000001</v>
      </c>
      <c r="L228" s="393">
        <f t="shared" ref="L228:M239" si="347">O228-I228</f>
        <v>9377</v>
      </c>
      <c r="M228" s="549">
        <f t="shared" si="347"/>
        <v>15959</v>
      </c>
      <c r="N228" s="330">
        <f t="shared" ref="N228:N239" si="348">ROUND(((M228/L228-1)*100), 1)</f>
        <v>70.2</v>
      </c>
      <c r="O228" s="549">
        <v>24986</v>
      </c>
      <c r="P228" s="549">
        <v>31404</v>
      </c>
      <c r="Q228" s="330">
        <f t="shared" ref="Q228:Q241" si="349">ROUND(((P228/O228-1)*100), 1)</f>
        <v>25.7</v>
      </c>
      <c r="R228" s="575">
        <f t="shared" si="340"/>
        <v>18457</v>
      </c>
      <c r="S228" s="549">
        <f t="shared" si="341"/>
        <v>20898</v>
      </c>
      <c r="T228" s="330">
        <f t="shared" ref="T228:T233" si="350">ROUND(((S228/R228-1)*100), 1)</f>
        <v>13.2</v>
      </c>
      <c r="U228" s="549">
        <v>43443</v>
      </c>
      <c r="V228" s="549">
        <v>52302</v>
      </c>
      <c r="W228" s="330">
        <f t="shared" ref="W228:W246" si="351">ROUND(((V228/U228-1)*100), 1)</f>
        <v>20.399999999999999</v>
      </c>
      <c r="X228" s="393">
        <f t="shared" ref="X228:X235" si="352">AA228-U228</f>
        <v>17621</v>
      </c>
      <c r="Y228" s="549">
        <f t="shared" si="343"/>
        <v>18812</v>
      </c>
      <c r="Z228" s="330">
        <f t="shared" ref="Z228:Z235" si="353">ROUND(((Y228/X228-1)*100), 1)</f>
        <v>6.8</v>
      </c>
      <c r="AA228" s="646">
        <v>61064</v>
      </c>
      <c r="AB228" s="646">
        <v>71114</v>
      </c>
      <c r="AC228" s="330">
        <f t="shared" ref="AC228:AC245" si="354">ROUND(((AB228/AA228-1)*100), 1)</f>
        <v>16.5</v>
      </c>
      <c r="AD228" s="393">
        <f t="shared" ref="AD228:AE238" si="355">AG228-AA228</f>
        <v>16799</v>
      </c>
      <c r="AE228" s="575">
        <f t="shared" si="355"/>
        <v>18809</v>
      </c>
      <c r="AF228" s="330">
        <f t="shared" ref="AF228:AF238" si="356">ROUND(((AE228/AD228-1)*100), 1)</f>
        <v>12</v>
      </c>
      <c r="AG228" s="477">
        <v>77863</v>
      </c>
      <c r="AH228" s="549">
        <v>89923</v>
      </c>
      <c r="AI228" s="330">
        <f t="shared" ref="AI228:AI241" si="357">ROUND(((AH228/AG228-1)*100), 1)</f>
        <v>15.5</v>
      </c>
    </row>
    <row r="229" spans="1:35" s="167" customFormat="1">
      <c r="A229" s="322"/>
      <c r="B229" s="846"/>
      <c r="C229" s="329" t="s">
        <v>94</v>
      </c>
      <c r="D229" s="325">
        <v>4489</v>
      </c>
      <c r="E229" s="325">
        <v>6481</v>
      </c>
      <c r="F229" s="325">
        <v>14921</v>
      </c>
      <c r="G229" s="325">
        <v>16928</v>
      </c>
      <c r="H229" s="681">
        <v>16542</v>
      </c>
      <c r="I229" s="646">
        <v>2070</v>
      </c>
      <c r="J229" s="646">
        <v>504</v>
      </c>
      <c r="K229" s="330">
        <f t="shared" si="346"/>
        <v>-75.7</v>
      </c>
      <c r="L229" s="393">
        <f t="shared" si="347"/>
        <v>810</v>
      </c>
      <c r="M229" s="549">
        <f t="shared" si="347"/>
        <v>402</v>
      </c>
      <c r="N229" s="330">
        <f t="shared" si="348"/>
        <v>-50.4</v>
      </c>
      <c r="O229" s="549">
        <v>2880</v>
      </c>
      <c r="P229" s="549">
        <v>906</v>
      </c>
      <c r="Q229" s="330">
        <f t="shared" si="349"/>
        <v>-68.5</v>
      </c>
      <c r="R229" s="575">
        <f t="shared" si="340"/>
        <v>1229</v>
      </c>
      <c r="S229" s="549">
        <f t="shared" si="341"/>
        <v>643</v>
      </c>
      <c r="T229" s="330">
        <f t="shared" si="350"/>
        <v>-47.7</v>
      </c>
      <c r="U229" s="549">
        <v>4109</v>
      </c>
      <c r="V229" s="549">
        <v>1549</v>
      </c>
      <c r="W229" s="330">
        <f t="shared" si="351"/>
        <v>-62.3</v>
      </c>
      <c r="X229" s="393">
        <f t="shared" si="352"/>
        <v>1385</v>
      </c>
      <c r="Y229" s="549">
        <f t="shared" si="343"/>
        <v>476</v>
      </c>
      <c r="Z229" s="330">
        <f t="shared" si="353"/>
        <v>-65.599999999999994</v>
      </c>
      <c r="AA229" s="646">
        <v>5494</v>
      </c>
      <c r="AB229" s="646">
        <v>2025</v>
      </c>
      <c r="AC229" s="330">
        <f t="shared" si="354"/>
        <v>-63.1</v>
      </c>
      <c r="AD229" s="393">
        <f t="shared" si="355"/>
        <v>1316</v>
      </c>
      <c r="AE229" s="575">
        <f t="shared" si="355"/>
        <v>543</v>
      </c>
      <c r="AF229" s="330">
        <f t="shared" si="356"/>
        <v>-58.7</v>
      </c>
      <c r="AG229" s="477">
        <v>6810</v>
      </c>
      <c r="AH229" s="549">
        <v>2568</v>
      </c>
      <c r="AI229" s="330">
        <f t="shared" si="357"/>
        <v>-62.3</v>
      </c>
    </row>
    <row r="230" spans="1:35" s="167" customFormat="1">
      <c r="A230" s="322"/>
      <c r="B230" s="846"/>
      <c r="C230" s="329" t="s">
        <v>106</v>
      </c>
      <c r="D230" s="325">
        <v>27652</v>
      </c>
      <c r="E230" s="325">
        <v>28038</v>
      </c>
      <c r="F230" s="325">
        <v>26604</v>
      </c>
      <c r="G230" s="325">
        <v>22906</v>
      </c>
      <c r="H230" s="681">
        <v>16353</v>
      </c>
      <c r="I230" s="646">
        <v>1581</v>
      </c>
      <c r="J230" s="646">
        <v>741</v>
      </c>
      <c r="K230" s="330">
        <f t="shared" si="346"/>
        <v>-53.1</v>
      </c>
      <c r="L230" s="393">
        <f t="shared" si="347"/>
        <v>1397</v>
      </c>
      <c r="M230" s="549">
        <f t="shared" si="347"/>
        <v>547</v>
      </c>
      <c r="N230" s="330">
        <f t="shared" si="348"/>
        <v>-60.8</v>
      </c>
      <c r="O230" s="549">
        <v>2978</v>
      </c>
      <c r="P230" s="549">
        <v>1288</v>
      </c>
      <c r="Q230" s="330">
        <f t="shared" si="349"/>
        <v>-56.7</v>
      </c>
      <c r="R230" s="575">
        <f t="shared" si="340"/>
        <v>1771</v>
      </c>
      <c r="S230" s="549">
        <f t="shared" si="341"/>
        <v>772</v>
      </c>
      <c r="T230" s="330">
        <f t="shared" si="350"/>
        <v>-56.4</v>
      </c>
      <c r="U230" s="549">
        <v>4749</v>
      </c>
      <c r="V230" s="549">
        <v>2060</v>
      </c>
      <c r="W230" s="330">
        <f t="shared" si="351"/>
        <v>-56.6</v>
      </c>
      <c r="X230" s="393">
        <f t="shared" si="352"/>
        <v>1440</v>
      </c>
      <c r="Y230" s="549">
        <f t="shared" si="343"/>
        <v>941</v>
      </c>
      <c r="Z230" s="330">
        <f t="shared" si="353"/>
        <v>-34.700000000000003</v>
      </c>
      <c r="AA230" s="646">
        <v>6189</v>
      </c>
      <c r="AB230" s="646">
        <v>3001</v>
      </c>
      <c r="AC230" s="330">
        <f t="shared" si="354"/>
        <v>-51.5</v>
      </c>
      <c r="AD230" s="393">
        <f t="shared" si="355"/>
        <v>2015</v>
      </c>
      <c r="AE230" s="575">
        <f t="shared" si="355"/>
        <v>1597</v>
      </c>
      <c r="AF230" s="330">
        <f t="shared" si="356"/>
        <v>-20.7</v>
      </c>
      <c r="AG230" s="477">
        <v>8204</v>
      </c>
      <c r="AH230" s="549">
        <v>4598</v>
      </c>
      <c r="AI230" s="330">
        <f t="shared" si="357"/>
        <v>-44</v>
      </c>
    </row>
    <row r="231" spans="1:35" s="167" customFormat="1">
      <c r="A231" s="322"/>
      <c r="B231" s="846"/>
      <c r="C231" s="329" t="s">
        <v>109</v>
      </c>
      <c r="D231" s="325">
        <v>24625</v>
      </c>
      <c r="E231" s="325">
        <v>23865</v>
      </c>
      <c r="F231" s="325">
        <v>21256</v>
      </c>
      <c r="G231" s="325">
        <v>17633</v>
      </c>
      <c r="H231" s="681">
        <v>13468</v>
      </c>
      <c r="I231" s="646">
        <v>1115</v>
      </c>
      <c r="J231" s="646">
        <v>1465</v>
      </c>
      <c r="K231" s="330">
        <f t="shared" si="346"/>
        <v>31.4</v>
      </c>
      <c r="L231" s="393">
        <f t="shared" si="347"/>
        <v>1525</v>
      </c>
      <c r="M231" s="549">
        <f t="shared" si="347"/>
        <v>659</v>
      </c>
      <c r="N231" s="330">
        <f t="shared" si="348"/>
        <v>-56.8</v>
      </c>
      <c r="O231" s="549">
        <v>2640</v>
      </c>
      <c r="P231" s="549">
        <v>2124</v>
      </c>
      <c r="Q231" s="330">
        <f t="shared" si="349"/>
        <v>-19.5</v>
      </c>
      <c r="R231" s="575">
        <f t="shared" si="340"/>
        <v>1276</v>
      </c>
      <c r="S231" s="549">
        <f t="shared" si="341"/>
        <v>1204</v>
      </c>
      <c r="T231" s="330">
        <f t="shared" si="350"/>
        <v>-5.6</v>
      </c>
      <c r="U231" s="549">
        <v>3916</v>
      </c>
      <c r="V231" s="549">
        <v>3328</v>
      </c>
      <c r="W231" s="330">
        <f t="shared" si="351"/>
        <v>-15</v>
      </c>
      <c r="X231" s="393">
        <f t="shared" si="352"/>
        <v>1404</v>
      </c>
      <c r="Y231" s="549">
        <f t="shared" si="343"/>
        <v>1637</v>
      </c>
      <c r="Z231" s="330">
        <f t="shared" si="353"/>
        <v>16.600000000000001</v>
      </c>
      <c r="AA231" s="646">
        <v>5320</v>
      </c>
      <c r="AB231" s="646">
        <v>4965</v>
      </c>
      <c r="AC231" s="330">
        <f t="shared" si="354"/>
        <v>-6.7</v>
      </c>
      <c r="AD231" s="393">
        <f t="shared" si="355"/>
        <v>1096</v>
      </c>
      <c r="AE231" s="575">
        <f t="shared" si="355"/>
        <v>780</v>
      </c>
      <c r="AF231" s="330">
        <f t="shared" si="356"/>
        <v>-28.8</v>
      </c>
      <c r="AG231" s="477">
        <v>6416</v>
      </c>
      <c r="AH231" s="549">
        <v>5745</v>
      </c>
      <c r="AI231" s="330">
        <f t="shared" si="357"/>
        <v>-10.5</v>
      </c>
    </row>
    <row r="232" spans="1:35" s="167" customFormat="1">
      <c r="A232" s="322"/>
      <c r="B232" s="846"/>
      <c r="C232" s="329" t="s">
        <v>100</v>
      </c>
      <c r="D232" s="325">
        <v>14377</v>
      </c>
      <c r="E232" s="325">
        <v>12652</v>
      </c>
      <c r="F232" s="325">
        <v>11351</v>
      </c>
      <c r="G232" s="325">
        <v>9225</v>
      </c>
      <c r="H232" s="681">
        <v>8072</v>
      </c>
      <c r="I232" s="646">
        <v>653</v>
      </c>
      <c r="J232" s="646">
        <v>631</v>
      </c>
      <c r="K232" s="330">
        <f t="shared" si="346"/>
        <v>-3.4</v>
      </c>
      <c r="L232" s="393">
        <f t="shared" si="347"/>
        <v>618</v>
      </c>
      <c r="M232" s="549">
        <f t="shared" si="347"/>
        <v>454</v>
      </c>
      <c r="N232" s="330">
        <f t="shared" si="348"/>
        <v>-26.5</v>
      </c>
      <c r="O232" s="549">
        <v>1271</v>
      </c>
      <c r="P232" s="549">
        <v>1085</v>
      </c>
      <c r="Q232" s="330">
        <f t="shared" si="349"/>
        <v>-14.6</v>
      </c>
      <c r="R232" s="575">
        <f t="shared" si="340"/>
        <v>650</v>
      </c>
      <c r="S232" s="549">
        <f t="shared" si="341"/>
        <v>757</v>
      </c>
      <c r="T232" s="330">
        <f t="shared" si="350"/>
        <v>16.5</v>
      </c>
      <c r="U232" s="549">
        <v>1921</v>
      </c>
      <c r="V232" s="549">
        <v>1842</v>
      </c>
      <c r="W232" s="330">
        <f t="shared" si="351"/>
        <v>-4.0999999999999996</v>
      </c>
      <c r="X232" s="393">
        <f t="shared" si="352"/>
        <v>720</v>
      </c>
      <c r="Y232" s="549">
        <f t="shared" si="343"/>
        <v>612</v>
      </c>
      <c r="Z232" s="330">
        <f t="shared" si="353"/>
        <v>-15</v>
      </c>
      <c r="AA232" s="646">
        <v>2641</v>
      </c>
      <c r="AB232" s="646">
        <v>2454</v>
      </c>
      <c r="AC232" s="330">
        <f t="shared" si="354"/>
        <v>-7.1</v>
      </c>
      <c r="AD232" s="393">
        <f t="shared" si="355"/>
        <v>703</v>
      </c>
      <c r="AE232" s="575">
        <f t="shared" si="355"/>
        <v>455</v>
      </c>
      <c r="AF232" s="330">
        <f t="shared" si="356"/>
        <v>-35.299999999999997</v>
      </c>
      <c r="AG232" s="477">
        <v>3344</v>
      </c>
      <c r="AH232" s="549">
        <v>2909</v>
      </c>
      <c r="AI232" s="330">
        <f t="shared" si="357"/>
        <v>-13</v>
      </c>
    </row>
    <row r="233" spans="1:35" s="167" customFormat="1">
      <c r="A233" s="322"/>
      <c r="B233" s="846"/>
      <c r="C233" s="329" t="s">
        <v>217</v>
      </c>
      <c r="D233" s="325">
        <v>476</v>
      </c>
      <c r="E233" s="325">
        <v>479</v>
      </c>
      <c r="F233" s="325">
        <v>1062</v>
      </c>
      <c r="G233" s="325">
        <v>1159</v>
      </c>
      <c r="H233" s="681">
        <v>3721</v>
      </c>
      <c r="I233" s="646">
        <v>85</v>
      </c>
      <c r="J233" s="646">
        <v>324</v>
      </c>
      <c r="K233" s="330">
        <f t="shared" si="346"/>
        <v>281.2</v>
      </c>
      <c r="L233" s="393">
        <f t="shared" si="347"/>
        <v>122</v>
      </c>
      <c r="M233" s="549">
        <f t="shared" si="347"/>
        <v>167</v>
      </c>
      <c r="N233" s="330">
        <f t="shared" si="348"/>
        <v>36.9</v>
      </c>
      <c r="O233" s="549">
        <v>207</v>
      </c>
      <c r="P233" s="549">
        <v>491</v>
      </c>
      <c r="Q233" s="330">
        <f t="shared" si="349"/>
        <v>137.19999999999999</v>
      </c>
      <c r="R233" s="575">
        <f t="shared" si="340"/>
        <v>87</v>
      </c>
      <c r="S233" s="549">
        <f t="shared" si="341"/>
        <v>0</v>
      </c>
      <c r="T233" s="330">
        <f t="shared" si="350"/>
        <v>-100</v>
      </c>
      <c r="U233" s="549">
        <v>294</v>
      </c>
      <c r="V233" s="549">
        <v>491</v>
      </c>
      <c r="W233" s="330">
        <f t="shared" si="351"/>
        <v>67</v>
      </c>
      <c r="X233" s="393">
        <f t="shared" si="352"/>
        <v>95</v>
      </c>
      <c r="Y233" s="549">
        <f t="shared" si="343"/>
        <v>192</v>
      </c>
      <c r="Z233" s="330">
        <f t="shared" si="353"/>
        <v>102.1</v>
      </c>
      <c r="AA233" s="646">
        <v>389</v>
      </c>
      <c r="AB233" s="646">
        <v>683</v>
      </c>
      <c r="AC233" s="330">
        <f t="shared" si="354"/>
        <v>75.599999999999994</v>
      </c>
      <c r="AD233" s="393">
        <f t="shared" si="355"/>
        <v>23</v>
      </c>
      <c r="AE233" s="575">
        <f t="shared" si="355"/>
        <v>242</v>
      </c>
      <c r="AF233" s="330">
        <f t="shared" si="356"/>
        <v>952.2</v>
      </c>
      <c r="AG233" s="477">
        <v>412</v>
      </c>
      <c r="AH233" s="549">
        <v>925</v>
      </c>
      <c r="AI233" s="330">
        <f t="shared" si="357"/>
        <v>124.5</v>
      </c>
    </row>
    <row r="234" spans="1:35" s="167" customFormat="1">
      <c r="A234" s="322"/>
      <c r="B234" s="846"/>
      <c r="C234" s="329" t="s">
        <v>79</v>
      </c>
      <c r="D234" s="325">
        <v>2293</v>
      </c>
      <c r="E234" s="325">
        <v>2577</v>
      </c>
      <c r="F234" s="325">
        <v>2913</v>
      </c>
      <c r="G234" s="325">
        <v>2859</v>
      </c>
      <c r="H234" s="681">
        <v>3151</v>
      </c>
      <c r="I234" s="646">
        <v>289</v>
      </c>
      <c r="J234" s="646">
        <v>95</v>
      </c>
      <c r="K234" s="330">
        <f t="shared" si="346"/>
        <v>-67.099999999999994</v>
      </c>
      <c r="L234" s="393">
        <f t="shared" si="347"/>
        <v>391</v>
      </c>
      <c r="M234" s="549">
        <f t="shared" si="347"/>
        <v>59</v>
      </c>
      <c r="N234" s="330">
        <f t="shared" si="348"/>
        <v>-84.9</v>
      </c>
      <c r="O234" s="549">
        <v>680</v>
      </c>
      <c r="P234" s="549">
        <v>154</v>
      </c>
      <c r="Q234" s="330">
        <f t="shared" si="349"/>
        <v>-77.400000000000006</v>
      </c>
      <c r="R234" s="575">
        <f t="shared" ref="R234:R247" si="358">U234-O234</f>
        <v>232</v>
      </c>
      <c r="S234" s="549">
        <f t="shared" ref="S234:S247" si="359">V234-P234</f>
        <v>172</v>
      </c>
      <c r="T234" s="544">
        <f t="shared" ref="T234:T246" si="360">ROUND(((S234/R234-1)*100), 1)</f>
        <v>-25.9</v>
      </c>
      <c r="U234" s="549">
        <v>912</v>
      </c>
      <c r="V234" s="549">
        <v>326</v>
      </c>
      <c r="W234" s="330">
        <f t="shared" si="351"/>
        <v>-64.3</v>
      </c>
      <c r="X234" s="393">
        <f t="shared" si="352"/>
        <v>433</v>
      </c>
      <c r="Y234" s="549">
        <f t="shared" si="343"/>
        <v>329</v>
      </c>
      <c r="Z234" s="330">
        <f t="shared" si="353"/>
        <v>-24</v>
      </c>
      <c r="AA234" s="646">
        <v>1345</v>
      </c>
      <c r="AB234" s="646">
        <v>655</v>
      </c>
      <c r="AC234" s="330">
        <f t="shared" si="354"/>
        <v>-51.3</v>
      </c>
      <c r="AD234" s="393">
        <f t="shared" si="355"/>
        <v>431</v>
      </c>
      <c r="AE234" s="575">
        <f t="shared" si="355"/>
        <v>240</v>
      </c>
      <c r="AF234" s="330">
        <f t="shared" si="356"/>
        <v>-44.3</v>
      </c>
      <c r="AG234" s="477">
        <v>1776</v>
      </c>
      <c r="AH234" s="549">
        <v>895</v>
      </c>
      <c r="AI234" s="330">
        <f t="shared" si="357"/>
        <v>-49.6</v>
      </c>
    </row>
    <row r="235" spans="1:35" s="167" customFormat="1">
      <c r="A235" s="322"/>
      <c r="B235" s="846"/>
      <c r="C235" s="329" t="s">
        <v>120</v>
      </c>
      <c r="D235" s="325">
        <v>8067</v>
      </c>
      <c r="E235" s="325">
        <v>6365</v>
      </c>
      <c r="F235" s="325">
        <v>4732</v>
      </c>
      <c r="G235" s="325">
        <v>3667</v>
      </c>
      <c r="H235" s="681">
        <v>2854</v>
      </c>
      <c r="I235" s="646">
        <v>468</v>
      </c>
      <c r="J235" s="646">
        <v>7</v>
      </c>
      <c r="K235" s="330">
        <f t="shared" si="346"/>
        <v>-98.5</v>
      </c>
      <c r="L235" s="393">
        <f t="shared" si="347"/>
        <v>294</v>
      </c>
      <c r="M235" s="549">
        <f t="shared" si="347"/>
        <v>26</v>
      </c>
      <c r="N235" s="330">
        <f t="shared" si="348"/>
        <v>-91.2</v>
      </c>
      <c r="O235" s="549">
        <v>762</v>
      </c>
      <c r="P235" s="549">
        <v>33</v>
      </c>
      <c r="Q235" s="330">
        <f t="shared" si="349"/>
        <v>-95.7</v>
      </c>
      <c r="R235" s="575">
        <f t="shared" si="358"/>
        <v>328</v>
      </c>
      <c r="S235" s="549">
        <f t="shared" si="359"/>
        <v>69</v>
      </c>
      <c r="T235" s="544">
        <f t="shared" si="360"/>
        <v>-79</v>
      </c>
      <c r="U235" s="549">
        <v>1090</v>
      </c>
      <c r="V235" s="549">
        <v>102</v>
      </c>
      <c r="W235" s="330">
        <f t="shared" si="351"/>
        <v>-90.6</v>
      </c>
      <c r="X235" s="393">
        <f t="shared" si="352"/>
        <v>244</v>
      </c>
      <c r="Y235" s="549">
        <f t="shared" si="343"/>
        <v>107</v>
      </c>
      <c r="Z235" s="330">
        <f t="shared" si="353"/>
        <v>-56.1</v>
      </c>
      <c r="AA235" s="646">
        <v>1334</v>
      </c>
      <c r="AB235" s="646">
        <v>209</v>
      </c>
      <c r="AC235" s="330">
        <f t="shared" si="354"/>
        <v>-84.3</v>
      </c>
      <c r="AD235" s="393">
        <f t="shared" si="355"/>
        <v>188</v>
      </c>
      <c r="AE235" s="575">
        <f t="shared" si="355"/>
        <v>107</v>
      </c>
      <c r="AF235" s="330">
        <f t="shared" si="356"/>
        <v>-43.1</v>
      </c>
      <c r="AG235" s="477">
        <v>1522</v>
      </c>
      <c r="AH235" s="549">
        <v>316</v>
      </c>
      <c r="AI235" s="330">
        <f t="shared" si="357"/>
        <v>-79.2</v>
      </c>
    </row>
    <row r="236" spans="1:35" s="167" customFormat="1">
      <c r="A236" s="322"/>
      <c r="B236" s="846"/>
      <c r="C236" s="329" t="s">
        <v>118</v>
      </c>
      <c r="D236" s="325">
        <v>1342</v>
      </c>
      <c r="E236" s="325">
        <v>1530</v>
      </c>
      <c r="F236" s="325">
        <v>1870</v>
      </c>
      <c r="G236" s="325">
        <v>2196</v>
      </c>
      <c r="H236" s="681">
        <v>1666</v>
      </c>
      <c r="I236" s="646">
        <v>197</v>
      </c>
      <c r="J236" s="646">
        <v>13</v>
      </c>
      <c r="K236" s="544">
        <f t="shared" si="346"/>
        <v>-93.4</v>
      </c>
      <c r="L236" s="393">
        <f t="shared" si="347"/>
        <v>32</v>
      </c>
      <c r="M236" s="549">
        <f t="shared" si="347"/>
        <v>82</v>
      </c>
      <c r="N236" s="330">
        <f t="shared" si="348"/>
        <v>156.30000000000001</v>
      </c>
      <c r="O236" s="549">
        <v>229</v>
      </c>
      <c r="P236" s="549">
        <v>95</v>
      </c>
      <c r="Q236" s="330">
        <f t="shared" si="349"/>
        <v>-58.5</v>
      </c>
      <c r="R236" s="575">
        <f t="shared" si="358"/>
        <v>18</v>
      </c>
      <c r="S236" s="549">
        <f t="shared" si="359"/>
        <v>48</v>
      </c>
      <c r="T236" s="544">
        <f t="shared" si="360"/>
        <v>166.7</v>
      </c>
      <c r="U236" s="549">
        <v>247</v>
      </c>
      <c r="V236" s="549">
        <v>143</v>
      </c>
      <c r="W236" s="330">
        <f t="shared" si="351"/>
        <v>-42.1</v>
      </c>
      <c r="X236" s="575">
        <f t="shared" ref="X236:X246" si="361">AA236-U236</f>
        <v>342</v>
      </c>
      <c r="Y236" s="549">
        <f t="shared" ref="Y236:Y246" si="362">AB236-V236</f>
        <v>72</v>
      </c>
      <c r="Z236" s="544">
        <f t="shared" ref="Z236:Z245" si="363">ROUND(((Y236/X236-1)*100), 1)</f>
        <v>-78.900000000000006</v>
      </c>
      <c r="AA236" s="646">
        <v>589</v>
      </c>
      <c r="AB236" s="646">
        <v>215</v>
      </c>
      <c r="AC236" s="330">
        <f t="shared" si="354"/>
        <v>-63.5</v>
      </c>
      <c r="AD236" s="393">
        <f t="shared" si="355"/>
        <v>68</v>
      </c>
      <c r="AE236" s="575">
        <f t="shared" si="355"/>
        <v>130</v>
      </c>
      <c r="AF236" s="330">
        <f t="shared" si="356"/>
        <v>91.2</v>
      </c>
      <c r="AG236" s="477">
        <v>657</v>
      </c>
      <c r="AH236" s="549">
        <v>345</v>
      </c>
      <c r="AI236" s="330">
        <f t="shared" si="357"/>
        <v>-47.5</v>
      </c>
    </row>
    <row r="237" spans="1:35" s="167" customFormat="1">
      <c r="A237" s="322"/>
      <c r="B237" s="846"/>
      <c r="C237" s="329" t="s">
        <v>133</v>
      </c>
      <c r="D237" s="325">
        <v>565</v>
      </c>
      <c r="E237" s="325">
        <v>1259</v>
      </c>
      <c r="F237" s="325">
        <v>1972</v>
      </c>
      <c r="G237" s="325">
        <v>1504</v>
      </c>
      <c r="H237" s="681">
        <v>1500</v>
      </c>
      <c r="I237" s="646">
        <v>132</v>
      </c>
      <c r="J237" s="646">
        <v>120</v>
      </c>
      <c r="K237" s="544">
        <f t="shared" si="346"/>
        <v>-9.1</v>
      </c>
      <c r="L237" s="393">
        <f t="shared" si="347"/>
        <v>128</v>
      </c>
      <c r="M237" s="549">
        <f t="shared" si="347"/>
        <v>78</v>
      </c>
      <c r="N237" s="330">
        <f t="shared" si="348"/>
        <v>-39.1</v>
      </c>
      <c r="O237" s="549">
        <v>260</v>
      </c>
      <c r="P237" s="549">
        <v>198</v>
      </c>
      <c r="Q237" s="330">
        <f t="shared" si="349"/>
        <v>-23.8</v>
      </c>
      <c r="R237" s="575">
        <f t="shared" si="358"/>
        <v>112</v>
      </c>
      <c r="S237" s="549">
        <f t="shared" si="359"/>
        <v>62</v>
      </c>
      <c r="T237" s="544">
        <f t="shared" si="360"/>
        <v>-44.6</v>
      </c>
      <c r="U237" s="549">
        <v>372</v>
      </c>
      <c r="V237" s="549">
        <v>260</v>
      </c>
      <c r="W237" s="544">
        <f t="shared" si="351"/>
        <v>-30.1</v>
      </c>
      <c r="X237" s="575">
        <f t="shared" si="361"/>
        <v>129</v>
      </c>
      <c r="Y237" s="549">
        <f t="shared" si="362"/>
        <v>124</v>
      </c>
      <c r="Z237" s="544">
        <f t="shared" si="363"/>
        <v>-3.9</v>
      </c>
      <c r="AA237" s="646">
        <v>501</v>
      </c>
      <c r="AB237" s="646">
        <v>384</v>
      </c>
      <c r="AC237" s="330">
        <f t="shared" si="354"/>
        <v>-23.4</v>
      </c>
      <c r="AD237" s="393">
        <f t="shared" si="355"/>
        <v>194</v>
      </c>
      <c r="AE237" s="575">
        <f t="shared" si="355"/>
        <v>62</v>
      </c>
      <c r="AF237" s="330">
        <f t="shared" si="356"/>
        <v>-68</v>
      </c>
      <c r="AG237" s="477">
        <v>695</v>
      </c>
      <c r="AH237" s="549">
        <v>446</v>
      </c>
      <c r="AI237" s="330">
        <f t="shared" si="357"/>
        <v>-35.799999999999997</v>
      </c>
    </row>
    <row r="238" spans="1:35" s="167" customFormat="1">
      <c r="A238" s="322"/>
      <c r="B238" s="846"/>
      <c r="C238" s="329" t="s">
        <v>122</v>
      </c>
      <c r="D238" s="325">
        <v>308</v>
      </c>
      <c r="E238" s="325">
        <v>358</v>
      </c>
      <c r="F238" s="325">
        <v>681</v>
      </c>
      <c r="G238" s="325">
        <v>894</v>
      </c>
      <c r="H238" s="681">
        <v>1021</v>
      </c>
      <c r="I238" s="646">
        <v>140</v>
      </c>
      <c r="J238" s="646">
        <v>88</v>
      </c>
      <c r="K238" s="544">
        <f t="shared" si="346"/>
        <v>-37.1</v>
      </c>
      <c r="L238" s="393">
        <f t="shared" si="347"/>
        <v>41</v>
      </c>
      <c r="M238" s="549">
        <f t="shared" si="347"/>
        <v>69</v>
      </c>
      <c r="N238" s="330">
        <f t="shared" si="348"/>
        <v>68.3</v>
      </c>
      <c r="O238" s="549">
        <v>181</v>
      </c>
      <c r="P238" s="549">
        <v>157</v>
      </c>
      <c r="Q238" s="330">
        <f t="shared" si="349"/>
        <v>-13.3</v>
      </c>
      <c r="R238" s="575">
        <f t="shared" si="358"/>
        <v>105</v>
      </c>
      <c r="S238" s="549">
        <f t="shared" si="359"/>
        <v>44</v>
      </c>
      <c r="T238" s="544">
        <f t="shared" si="360"/>
        <v>-58.1</v>
      </c>
      <c r="U238" s="549">
        <v>286</v>
      </c>
      <c r="V238" s="549">
        <v>201</v>
      </c>
      <c r="W238" s="544">
        <f t="shared" si="351"/>
        <v>-29.7</v>
      </c>
      <c r="X238" s="575">
        <f t="shared" si="361"/>
        <v>103</v>
      </c>
      <c r="Y238" s="549">
        <f t="shared" si="362"/>
        <v>147</v>
      </c>
      <c r="Z238" s="544">
        <f t="shared" si="363"/>
        <v>42.7</v>
      </c>
      <c r="AA238" s="646">
        <v>389</v>
      </c>
      <c r="AB238" s="646">
        <v>348</v>
      </c>
      <c r="AC238" s="330">
        <f t="shared" si="354"/>
        <v>-10.5</v>
      </c>
      <c r="AD238" s="393">
        <f t="shared" si="355"/>
        <v>60</v>
      </c>
      <c r="AE238" s="575">
        <f t="shared" si="355"/>
        <v>121</v>
      </c>
      <c r="AF238" s="330">
        <f t="shared" si="356"/>
        <v>101.7</v>
      </c>
      <c r="AG238" s="477">
        <v>449</v>
      </c>
      <c r="AH238" s="549">
        <v>469</v>
      </c>
      <c r="AI238" s="330">
        <f t="shared" si="357"/>
        <v>4.5</v>
      </c>
    </row>
    <row r="239" spans="1:35" s="167" customFormat="1">
      <c r="A239" s="322"/>
      <c r="B239" s="846"/>
      <c r="C239" s="329" t="s">
        <v>93</v>
      </c>
      <c r="D239" s="325">
        <v>973</v>
      </c>
      <c r="E239" s="325">
        <v>1409</v>
      </c>
      <c r="F239" s="325">
        <v>1453</v>
      </c>
      <c r="G239" s="325">
        <v>997</v>
      </c>
      <c r="H239" s="681">
        <v>1016</v>
      </c>
      <c r="I239" s="646">
        <v>118</v>
      </c>
      <c r="J239" s="646">
        <v>141</v>
      </c>
      <c r="K239" s="544">
        <f t="shared" si="346"/>
        <v>19.5</v>
      </c>
      <c r="L239" s="393">
        <f t="shared" si="347"/>
        <v>131</v>
      </c>
      <c r="M239" s="549">
        <f t="shared" si="347"/>
        <v>59</v>
      </c>
      <c r="N239" s="544">
        <f t="shared" si="348"/>
        <v>-55</v>
      </c>
      <c r="O239" s="549">
        <v>249</v>
      </c>
      <c r="P239" s="549">
        <v>200</v>
      </c>
      <c r="Q239" s="330">
        <f t="shared" si="349"/>
        <v>-19.7</v>
      </c>
      <c r="R239" s="575">
        <f t="shared" si="358"/>
        <v>81</v>
      </c>
      <c r="S239" s="549">
        <f t="shared" si="359"/>
        <v>194</v>
      </c>
      <c r="T239" s="544">
        <f t="shared" si="360"/>
        <v>139.5</v>
      </c>
      <c r="U239" s="549">
        <v>330</v>
      </c>
      <c r="V239" s="549">
        <v>394</v>
      </c>
      <c r="W239" s="544">
        <f t="shared" si="351"/>
        <v>19.399999999999999</v>
      </c>
      <c r="X239" s="575">
        <f t="shared" si="361"/>
        <v>80</v>
      </c>
      <c r="Y239" s="549">
        <f t="shared" si="362"/>
        <v>102</v>
      </c>
      <c r="Z239" s="544">
        <f t="shared" si="363"/>
        <v>27.5</v>
      </c>
      <c r="AA239" s="646">
        <v>410</v>
      </c>
      <c r="AB239" s="646">
        <v>496</v>
      </c>
      <c r="AC239" s="330">
        <f t="shared" si="354"/>
        <v>21</v>
      </c>
      <c r="AD239" s="575">
        <f t="shared" ref="AD239:AE248" si="364">AG239-AA239</f>
        <v>59</v>
      </c>
      <c r="AE239" s="575">
        <f t="shared" si="364"/>
        <v>248</v>
      </c>
      <c r="AF239" s="544">
        <f t="shared" ref="AF239:AF246" si="365">ROUND(((AE239/AD239-1)*100), 1)</f>
        <v>320.3</v>
      </c>
      <c r="AG239" s="477">
        <v>469</v>
      </c>
      <c r="AH239" s="549">
        <v>744</v>
      </c>
      <c r="AI239" s="330">
        <f t="shared" si="357"/>
        <v>58.6</v>
      </c>
    </row>
    <row r="240" spans="1:35" s="167" customFormat="1">
      <c r="A240" s="322"/>
      <c r="B240" s="846"/>
      <c r="C240" s="329" t="s">
        <v>129</v>
      </c>
      <c r="D240" s="325">
        <v>747</v>
      </c>
      <c r="E240" s="325">
        <v>1334</v>
      </c>
      <c r="F240" s="325">
        <v>933</v>
      </c>
      <c r="G240" s="325">
        <v>557</v>
      </c>
      <c r="H240" s="681">
        <v>892</v>
      </c>
      <c r="I240" s="646">
        <v>88</v>
      </c>
      <c r="J240" s="646">
        <v>108</v>
      </c>
      <c r="K240" s="544">
        <f t="shared" si="346"/>
        <v>22.7</v>
      </c>
      <c r="L240" s="575">
        <f t="shared" ref="L240:L246" si="366">O240-I240</f>
        <v>104</v>
      </c>
      <c r="M240" s="549">
        <f t="shared" ref="M240:M246" si="367">P240-J240</f>
        <v>24</v>
      </c>
      <c r="N240" s="544">
        <f t="shared" ref="N240:N243" si="368">ROUND(((M240/L240-1)*100), 1)</f>
        <v>-76.900000000000006</v>
      </c>
      <c r="O240" s="549">
        <v>192</v>
      </c>
      <c r="P240" s="549">
        <v>132</v>
      </c>
      <c r="Q240" s="330">
        <f t="shared" si="349"/>
        <v>-31.3</v>
      </c>
      <c r="R240" s="575">
        <f t="shared" si="358"/>
        <v>67</v>
      </c>
      <c r="S240" s="549">
        <f t="shared" si="359"/>
        <v>44</v>
      </c>
      <c r="T240" s="544">
        <f t="shared" si="360"/>
        <v>-34.299999999999997</v>
      </c>
      <c r="U240" s="549">
        <v>259</v>
      </c>
      <c r="V240" s="549">
        <v>176</v>
      </c>
      <c r="W240" s="544">
        <f t="shared" si="351"/>
        <v>-32</v>
      </c>
      <c r="X240" s="575">
        <f t="shared" si="361"/>
        <v>65</v>
      </c>
      <c r="Y240" s="549">
        <f t="shared" si="362"/>
        <v>93</v>
      </c>
      <c r="Z240" s="544">
        <f t="shared" si="363"/>
        <v>43.1</v>
      </c>
      <c r="AA240" s="646">
        <v>324</v>
      </c>
      <c r="AB240" s="646">
        <v>269</v>
      </c>
      <c r="AC240" s="544">
        <f t="shared" si="354"/>
        <v>-17</v>
      </c>
      <c r="AD240" s="575">
        <f t="shared" si="364"/>
        <v>21</v>
      </c>
      <c r="AE240" s="575">
        <f t="shared" si="364"/>
        <v>44</v>
      </c>
      <c r="AF240" s="544">
        <f t="shared" si="365"/>
        <v>109.5</v>
      </c>
      <c r="AG240" s="477">
        <v>345</v>
      </c>
      <c r="AH240" s="549">
        <v>313</v>
      </c>
      <c r="AI240" s="330">
        <f t="shared" si="357"/>
        <v>-9.3000000000000007</v>
      </c>
    </row>
    <row r="241" spans="1:35" s="167" customFormat="1">
      <c r="A241" s="322"/>
      <c r="B241" s="846"/>
      <c r="C241" s="329" t="s">
        <v>540</v>
      </c>
      <c r="D241" s="325">
        <v>104</v>
      </c>
      <c r="E241" s="325">
        <v>1</v>
      </c>
      <c r="F241" s="325">
        <v>165</v>
      </c>
      <c r="G241" s="325">
        <v>125</v>
      </c>
      <c r="H241" s="681">
        <v>488</v>
      </c>
      <c r="I241" s="646">
        <v>48</v>
      </c>
      <c r="J241" s="646">
        <v>0</v>
      </c>
      <c r="K241" s="544">
        <f t="shared" si="346"/>
        <v>-100</v>
      </c>
      <c r="L241" s="575">
        <f t="shared" si="366"/>
        <v>19</v>
      </c>
      <c r="M241" s="549">
        <f t="shared" si="367"/>
        <v>233</v>
      </c>
      <c r="N241" s="544">
        <f t="shared" si="368"/>
        <v>1126.3</v>
      </c>
      <c r="O241" s="549">
        <v>67</v>
      </c>
      <c r="P241" s="549">
        <v>233</v>
      </c>
      <c r="Q241" s="544">
        <f t="shared" si="349"/>
        <v>247.8</v>
      </c>
      <c r="R241" s="575">
        <f t="shared" si="358"/>
        <v>56</v>
      </c>
      <c r="S241" s="549">
        <f t="shared" si="359"/>
        <v>86</v>
      </c>
      <c r="T241" s="544">
        <f t="shared" si="360"/>
        <v>53.6</v>
      </c>
      <c r="U241" s="549">
        <v>123</v>
      </c>
      <c r="V241" s="549">
        <v>319</v>
      </c>
      <c r="W241" s="544">
        <f t="shared" si="351"/>
        <v>159.30000000000001</v>
      </c>
      <c r="X241" s="575">
        <f t="shared" si="361"/>
        <v>15</v>
      </c>
      <c r="Y241" s="549">
        <f t="shared" si="362"/>
        <v>132</v>
      </c>
      <c r="Z241" s="544">
        <f t="shared" si="363"/>
        <v>780</v>
      </c>
      <c r="AA241" s="646">
        <v>138</v>
      </c>
      <c r="AB241" s="646">
        <v>451</v>
      </c>
      <c r="AC241" s="544">
        <f t="shared" si="354"/>
        <v>226.8</v>
      </c>
      <c r="AD241" s="575">
        <f t="shared" si="364"/>
        <v>0</v>
      </c>
      <c r="AE241" s="575">
        <f t="shared" si="364"/>
        <v>181</v>
      </c>
      <c r="AF241" s="570">
        <v>0</v>
      </c>
      <c r="AG241" s="477">
        <v>138</v>
      </c>
      <c r="AH241" s="549">
        <v>632</v>
      </c>
      <c r="AI241" s="544">
        <f t="shared" si="357"/>
        <v>358</v>
      </c>
    </row>
    <row r="242" spans="1:35" s="167" customFormat="1">
      <c r="A242" s="322"/>
      <c r="B242" s="846"/>
      <c r="C242" s="329" t="s">
        <v>98</v>
      </c>
      <c r="D242" s="325">
        <v>626</v>
      </c>
      <c r="E242" s="325">
        <v>342</v>
      </c>
      <c r="F242" s="325">
        <v>344</v>
      </c>
      <c r="G242" s="325">
        <v>327</v>
      </c>
      <c r="H242" s="681">
        <v>332</v>
      </c>
      <c r="I242" s="646">
        <v>40</v>
      </c>
      <c r="J242" s="646">
        <v>61</v>
      </c>
      <c r="K242" s="544">
        <f t="shared" si="346"/>
        <v>52.5</v>
      </c>
      <c r="L242" s="575">
        <f t="shared" si="366"/>
        <v>21</v>
      </c>
      <c r="M242" s="549">
        <f t="shared" si="367"/>
        <v>17</v>
      </c>
      <c r="N242" s="544">
        <f t="shared" si="368"/>
        <v>-19</v>
      </c>
      <c r="O242" s="549">
        <v>61</v>
      </c>
      <c r="P242" s="549">
        <v>78</v>
      </c>
      <c r="Q242" s="330">
        <f>ROUND(((P242/O242-1)*100), 1)</f>
        <v>27.9</v>
      </c>
      <c r="R242" s="575">
        <f t="shared" si="358"/>
        <v>37</v>
      </c>
      <c r="S242" s="549">
        <f t="shared" si="359"/>
        <v>40</v>
      </c>
      <c r="T242" s="544">
        <f t="shared" si="360"/>
        <v>8.1</v>
      </c>
      <c r="U242" s="549">
        <v>98</v>
      </c>
      <c r="V242" s="549">
        <v>118</v>
      </c>
      <c r="W242" s="544">
        <f t="shared" si="351"/>
        <v>20.399999999999999</v>
      </c>
      <c r="X242" s="575">
        <f t="shared" si="361"/>
        <v>20</v>
      </c>
      <c r="Y242" s="549">
        <f t="shared" si="362"/>
        <v>21</v>
      </c>
      <c r="Z242" s="544">
        <f t="shared" si="363"/>
        <v>5</v>
      </c>
      <c r="AA242" s="646">
        <v>118</v>
      </c>
      <c r="AB242" s="646">
        <v>139</v>
      </c>
      <c r="AC242" s="544">
        <f t="shared" si="354"/>
        <v>17.8</v>
      </c>
      <c r="AD242" s="575">
        <f t="shared" si="364"/>
        <v>0</v>
      </c>
      <c r="AE242" s="575">
        <f t="shared" si="364"/>
        <v>20</v>
      </c>
      <c r="AF242" s="570">
        <v>0</v>
      </c>
      <c r="AG242" s="477">
        <v>118</v>
      </c>
      <c r="AH242" s="549">
        <v>159</v>
      </c>
      <c r="AI242" s="330">
        <f>ROUND(((AH242/AG242-1)*100), 1)</f>
        <v>34.700000000000003</v>
      </c>
    </row>
    <row r="243" spans="1:35" s="167" customFormat="1">
      <c r="A243" s="322"/>
      <c r="B243" s="846"/>
      <c r="C243" s="329" t="s">
        <v>121</v>
      </c>
      <c r="D243" s="325">
        <v>185</v>
      </c>
      <c r="E243" s="325">
        <v>204</v>
      </c>
      <c r="F243" s="325">
        <v>356</v>
      </c>
      <c r="G243" s="325">
        <v>919</v>
      </c>
      <c r="H243" s="681">
        <v>299</v>
      </c>
      <c r="I243" s="646">
        <v>4</v>
      </c>
      <c r="J243" s="646">
        <v>0</v>
      </c>
      <c r="K243" s="544">
        <f t="shared" si="346"/>
        <v>-100</v>
      </c>
      <c r="L243" s="575">
        <f t="shared" si="366"/>
        <v>32</v>
      </c>
      <c r="M243" s="549">
        <f t="shared" si="367"/>
        <v>1</v>
      </c>
      <c r="N243" s="544">
        <f t="shared" si="368"/>
        <v>-96.9</v>
      </c>
      <c r="O243" s="549">
        <v>36</v>
      </c>
      <c r="P243" s="549">
        <v>1</v>
      </c>
      <c r="Q243" s="330">
        <f>ROUND(((P243/O243-1)*100), 1)</f>
        <v>-97.2</v>
      </c>
      <c r="R243" s="575">
        <f t="shared" si="358"/>
        <v>17</v>
      </c>
      <c r="S243" s="549">
        <f t="shared" si="359"/>
        <v>38</v>
      </c>
      <c r="T243" s="544">
        <f t="shared" si="360"/>
        <v>123.5</v>
      </c>
      <c r="U243" s="549">
        <v>53</v>
      </c>
      <c r="V243" s="549">
        <v>39</v>
      </c>
      <c r="W243" s="544">
        <f t="shared" si="351"/>
        <v>-26.4</v>
      </c>
      <c r="X243" s="575">
        <f t="shared" si="361"/>
        <v>27</v>
      </c>
      <c r="Y243" s="549">
        <f t="shared" si="362"/>
        <v>68</v>
      </c>
      <c r="Z243" s="544">
        <f t="shared" si="363"/>
        <v>151.9</v>
      </c>
      <c r="AA243" s="646">
        <v>80</v>
      </c>
      <c r="AB243" s="646">
        <v>107</v>
      </c>
      <c r="AC243" s="544">
        <f t="shared" si="354"/>
        <v>33.799999999999997</v>
      </c>
      <c r="AD243" s="575">
        <f t="shared" si="364"/>
        <v>39</v>
      </c>
      <c r="AE243" s="575">
        <f t="shared" si="364"/>
        <v>1</v>
      </c>
      <c r="AF243" s="544">
        <f t="shared" si="365"/>
        <v>-97.4</v>
      </c>
      <c r="AG243" s="477">
        <v>119</v>
      </c>
      <c r="AH243" s="549">
        <v>108</v>
      </c>
      <c r="AI243" s="330">
        <f>ROUND(((AH243/AG243-1)*100), 1)</f>
        <v>-9.1999999999999993</v>
      </c>
    </row>
    <row r="244" spans="1:35" s="167" customFormat="1">
      <c r="A244" s="322"/>
      <c r="B244" s="846"/>
      <c r="C244" s="329" t="s">
        <v>541</v>
      </c>
      <c r="D244" s="325">
        <v>12</v>
      </c>
      <c r="E244" s="325">
        <v>147</v>
      </c>
      <c r="F244" s="325">
        <v>160</v>
      </c>
      <c r="G244" s="325">
        <v>100</v>
      </c>
      <c r="H244" s="681">
        <v>215</v>
      </c>
      <c r="I244" s="646">
        <v>23</v>
      </c>
      <c r="J244" s="646">
        <v>0</v>
      </c>
      <c r="K244" s="544">
        <f t="shared" si="346"/>
        <v>-100</v>
      </c>
      <c r="L244" s="575">
        <f t="shared" si="366"/>
        <v>0</v>
      </c>
      <c r="M244" s="549">
        <f t="shared" si="367"/>
        <v>0</v>
      </c>
      <c r="N244" s="561">
        <v>0</v>
      </c>
      <c r="O244" s="549">
        <v>23</v>
      </c>
      <c r="P244" s="549">
        <v>0</v>
      </c>
      <c r="Q244" s="544">
        <f t="shared" ref="Q244" si="369">ROUND(((P244/O244-1)*100), 1)</f>
        <v>-100</v>
      </c>
      <c r="R244" s="575">
        <f t="shared" si="358"/>
        <v>0</v>
      </c>
      <c r="S244" s="549">
        <f t="shared" si="359"/>
        <v>0</v>
      </c>
      <c r="T244" s="570">
        <v>0</v>
      </c>
      <c r="U244" s="549">
        <v>23</v>
      </c>
      <c r="V244" s="549">
        <v>0</v>
      </c>
      <c r="W244" s="544">
        <f t="shared" si="351"/>
        <v>-100</v>
      </c>
      <c r="X244" s="575">
        <f t="shared" si="361"/>
        <v>12</v>
      </c>
      <c r="Y244" s="549">
        <f t="shared" si="362"/>
        <v>9</v>
      </c>
      <c r="Z244" s="544">
        <f t="shared" si="363"/>
        <v>-25</v>
      </c>
      <c r="AA244" s="646">
        <v>35</v>
      </c>
      <c r="AB244" s="646">
        <v>9</v>
      </c>
      <c r="AC244" s="544">
        <f t="shared" si="354"/>
        <v>-74.3</v>
      </c>
      <c r="AD244" s="575">
        <f t="shared" si="364"/>
        <v>7</v>
      </c>
      <c r="AE244" s="575">
        <f t="shared" si="364"/>
        <v>19</v>
      </c>
      <c r="AF244" s="544">
        <f t="shared" si="365"/>
        <v>171.4</v>
      </c>
      <c r="AG244" s="477">
        <v>42</v>
      </c>
      <c r="AH244" s="549">
        <v>28</v>
      </c>
      <c r="AI244" s="544">
        <f t="shared" ref="AI244" si="370">ROUND(((AH244/AG244-1)*100), 1)</f>
        <v>-33.299999999999997</v>
      </c>
    </row>
    <row r="245" spans="1:35" s="167" customFormat="1">
      <c r="A245" s="322"/>
      <c r="B245" s="846"/>
      <c r="C245" s="329" t="s">
        <v>107</v>
      </c>
      <c r="D245" s="325">
        <v>8</v>
      </c>
      <c r="E245" s="325">
        <v>341</v>
      </c>
      <c r="F245" s="325">
        <v>238</v>
      </c>
      <c r="G245" s="325">
        <v>128</v>
      </c>
      <c r="H245" s="681">
        <v>190</v>
      </c>
      <c r="I245" s="646">
        <v>21</v>
      </c>
      <c r="J245" s="646">
        <v>73</v>
      </c>
      <c r="K245" s="544">
        <f t="shared" si="346"/>
        <v>247.6</v>
      </c>
      <c r="L245" s="575">
        <f t="shared" si="366"/>
        <v>0</v>
      </c>
      <c r="M245" s="549">
        <f t="shared" si="367"/>
        <v>0</v>
      </c>
      <c r="N245" s="561">
        <v>0</v>
      </c>
      <c r="O245" s="549">
        <v>21</v>
      </c>
      <c r="P245" s="549">
        <v>73</v>
      </c>
      <c r="Q245" s="330">
        <f>ROUND(((P245/O245-1)*100), 1)</f>
        <v>247.6</v>
      </c>
      <c r="R245" s="575">
        <f t="shared" si="358"/>
        <v>0</v>
      </c>
      <c r="S245" s="549">
        <f t="shared" si="359"/>
        <v>15</v>
      </c>
      <c r="T245" s="570">
        <v>0</v>
      </c>
      <c r="U245" s="549">
        <v>21</v>
      </c>
      <c r="V245" s="549">
        <v>88</v>
      </c>
      <c r="W245" s="544">
        <f t="shared" si="351"/>
        <v>319</v>
      </c>
      <c r="X245" s="575">
        <f t="shared" si="361"/>
        <v>7</v>
      </c>
      <c r="Y245" s="549">
        <f t="shared" si="362"/>
        <v>0</v>
      </c>
      <c r="Z245" s="544">
        <f t="shared" si="363"/>
        <v>-100</v>
      </c>
      <c r="AA245" s="646">
        <v>28</v>
      </c>
      <c r="AB245" s="646">
        <v>88</v>
      </c>
      <c r="AC245" s="544">
        <f t="shared" si="354"/>
        <v>214.3</v>
      </c>
      <c r="AD245" s="575">
        <f t="shared" si="364"/>
        <v>2</v>
      </c>
      <c r="AE245" s="575">
        <f t="shared" si="364"/>
        <v>0</v>
      </c>
      <c r="AF245" s="544">
        <f t="shared" si="365"/>
        <v>-100</v>
      </c>
      <c r="AG245" s="477">
        <v>30</v>
      </c>
      <c r="AH245" s="549">
        <v>88</v>
      </c>
      <c r="AI245" s="330">
        <f t="shared" ref="AI245:AI251" si="371">ROUND(((AH245/AG245-1)*100), 1)</f>
        <v>193.3</v>
      </c>
    </row>
    <row r="246" spans="1:35" s="167" customFormat="1">
      <c r="A246" s="322"/>
      <c r="B246" s="846"/>
      <c r="C246" s="329" t="s">
        <v>96</v>
      </c>
      <c r="D246" s="325">
        <v>3454</v>
      </c>
      <c r="E246" s="325">
        <v>5339</v>
      </c>
      <c r="F246" s="325">
        <v>3152</v>
      </c>
      <c r="G246" s="325">
        <v>475</v>
      </c>
      <c r="H246" s="681">
        <v>33</v>
      </c>
      <c r="I246" s="646">
        <v>0</v>
      </c>
      <c r="J246" s="646">
        <v>17</v>
      </c>
      <c r="K246" s="561">
        <v>0</v>
      </c>
      <c r="L246" s="575">
        <f t="shared" si="366"/>
        <v>0</v>
      </c>
      <c r="M246" s="549">
        <f t="shared" si="367"/>
        <v>35</v>
      </c>
      <c r="N246" s="561">
        <v>0</v>
      </c>
      <c r="O246" s="549">
        <v>0</v>
      </c>
      <c r="P246" s="549">
        <v>52</v>
      </c>
      <c r="Q246" s="561">
        <v>0</v>
      </c>
      <c r="R246" s="575">
        <f t="shared" si="358"/>
        <v>24</v>
      </c>
      <c r="S246" s="549">
        <f t="shared" si="359"/>
        <v>15</v>
      </c>
      <c r="T246" s="544">
        <f t="shared" si="360"/>
        <v>-37.5</v>
      </c>
      <c r="U246" s="549">
        <v>24</v>
      </c>
      <c r="V246" s="549">
        <v>67</v>
      </c>
      <c r="W246" s="544">
        <f t="shared" si="351"/>
        <v>179.2</v>
      </c>
      <c r="X246" s="575">
        <f t="shared" si="361"/>
        <v>0</v>
      </c>
      <c r="Y246" s="549">
        <f t="shared" si="362"/>
        <v>19</v>
      </c>
      <c r="Z246" s="561">
        <v>0</v>
      </c>
      <c r="AA246" s="646">
        <v>24</v>
      </c>
      <c r="AB246" s="646">
        <v>86</v>
      </c>
      <c r="AC246" s="330">
        <f t="shared" ref="AC246:AC251" si="372">ROUND(((AB246/AA246-1)*100), 1)</f>
        <v>258.3</v>
      </c>
      <c r="AD246" s="575">
        <f t="shared" si="364"/>
        <v>9</v>
      </c>
      <c r="AE246" s="575">
        <f t="shared" si="364"/>
        <v>23</v>
      </c>
      <c r="AF246" s="544">
        <f t="shared" si="365"/>
        <v>155.6</v>
      </c>
      <c r="AG246" s="477">
        <v>33</v>
      </c>
      <c r="AH246" s="549">
        <v>109</v>
      </c>
      <c r="AI246" s="330">
        <f t="shared" si="371"/>
        <v>230.3</v>
      </c>
    </row>
    <row r="247" spans="1:35" s="167" customFormat="1">
      <c r="A247" s="322"/>
      <c r="B247" s="846"/>
      <c r="C247" s="329" t="s">
        <v>140</v>
      </c>
      <c r="D247" s="325">
        <v>272</v>
      </c>
      <c r="E247" s="325">
        <v>213</v>
      </c>
      <c r="F247" s="325">
        <v>98</v>
      </c>
      <c r="G247" s="325">
        <v>59</v>
      </c>
      <c r="H247" s="681">
        <v>18</v>
      </c>
      <c r="I247" s="646">
        <v>0</v>
      </c>
      <c r="J247" s="646">
        <v>0</v>
      </c>
      <c r="K247" s="561">
        <v>0</v>
      </c>
      <c r="L247" s="393">
        <v>0</v>
      </c>
      <c r="M247" s="549">
        <v>0</v>
      </c>
      <c r="N247" s="470">
        <v>0</v>
      </c>
      <c r="O247" s="549">
        <v>0</v>
      </c>
      <c r="P247" s="549">
        <v>0</v>
      </c>
      <c r="Q247" s="561">
        <v>0</v>
      </c>
      <c r="R247" s="575">
        <f t="shared" si="358"/>
        <v>0</v>
      </c>
      <c r="S247" s="549">
        <f t="shared" si="359"/>
        <v>5</v>
      </c>
      <c r="T247" s="570">
        <v>0</v>
      </c>
      <c r="U247" s="549">
        <v>0</v>
      </c>
      <c r="V247" s="549">
        <v>5</v>
      </c>
      <c r="W247" s="570">
        <v>0</v>
      </c>
      <c r="X247" s="393">
        <v>0</v>
      </c>
      <c r="Y247" s="549">
        <f t="shared" ref="Y247" si="373">AB247-V247</f>
        <v>0</v>
      </c>
      <c r="Z247" s="561">
        <v>0</v>
      </c>
      <c r="AA247" s="646">
        <v>0</v>
      </c>
      <c r="AB247" s="646">
        <v>5</v>
      </c>
      <c r="AC247" s="561">
        <v>0</v>
      </c>
      <c r="AD247" s="575">
        <f t="shared" si="364"/>
        <v>0</v>
      </c>
      <c r="AE247" s="575">
        <f t="shared" si="364"/>
        <v>0</v>
      </c>
      <c r="AF247" s="570">
        <v>0</v>
      </c>
      <c r="AG247" s="477">
        <v>0</v>
      </c>
      <c r="AH247" s="549">
        <v>5</v>
      </c>
      <c r="AI247" s="570">
        <v>0</v>
      </c>
    </row>
    <row r="248" spans="1:35" s="167" customFormat="1">
      <c r="A248" s="322"/>
      <c r="B248" s="846"/>
      <c r="C248" s="329" t="s">
        <v>456</v>
      </c>
      <c r="D248" s="325">
        <v>129</v>
      </c>
      <c r="E248" s="325">
        <v>90</v>
      </c>
      <c r="F248" s="325">
        <v>20</v>
      </c>
      <c r="G248" s="325">
        <v>174</v>
      </c>
      <c r="H248" s="681">
        <v>1</v>
      </c>
      <c r="I248" s="646">
        <v>0</v>
      </c>
      <c r="J248" s="646">
        <v>0</v>
      </c>
      <c r="K248" s="561">
        <v>0</v>
      </c>
      <c r="L248" s="393">
        <f>O248-I248</f>
        <v>0</v>
      </c>
      <c r="M248" s="549">
        <f>P248-J248</f>
        <v>0</v>
      </c>
      <c r="N248" s="561">
        <v>0</v>
      </c>
      <c r="O248" s="549">
        <v>0</v>
      </c>
      <c r="P248" s="549">
        <v>0</v>
      </c>
      <c r="Q248" s="561">
        <v>0</v>
      </c>
      <c r="R248" s="575">
        <f>U248-O248</f>
        <v>0</v>
      </c>
      <c r="S248" s="549">
        <f>V248-P248</f>
        <v>0</v>
      </c>
      <c r="T248" s="570">
        <v>0</v>
      </c>
      <c r="U248" s="549">
        <v>0</v>
      </c>
      <c r="V248" s="549">
        <v>0</v>
      </c>
      <c r="W248" s="570">
        <v>0</v>
      </c>
      <c r="X248" s="393">
        <f>AA248-U248</f>
        <v>1</v>
      </c>
      <c r="Y248" s="549">
        <f>AB248-V248</f>
        <v>0</v>
      </c>
      <c r="Z248" s="544">
        <f>ROUND(((Y248/X248-1)*100), 1)</f>
        <v>-100</v>
      </c>
      <c r="AA248" s="646">
        <v>1</v>
      </c>
      <c r="AB248" s="646">
        <v>0</v>
      </c>
      <c r="AC248" s="544">
        <f t="shared" si="372"/>
        <v>-100</v>
      </c>
      <c r="AD248" s="575">
        <f t="shared" si="364"/>
        <v>0</v>
      </c>
      <c r="AE248" s="575">
        <f t="shared" si="364"/>
        <v>0</v>
      </c>
      <c r="AF248" s="570">
        <v>0</v>
      </c>
      <c r="AG248" s="477">
        <v>1</v>
      </c>
      <c r="AH248" s="549">
        <v>0</v>
      </c>
      <c r="AI248" s="544">
        <f t="shared" si="371"/>
        <v>-100</v>
      </c>
    </row>
    <row r="249" spans="1:35">
      <c r="A249" s="92"/>
      <c r="B249" s="846"/>
      <c r="C249" s="101" t="s">
        <v>75</v>
      </c>
      <c r="D249" s="94">
        <f t="shared" ref="D249:G249" si="374">D250-SUM(D228:D248)</f>
        <v>1287</v>
      </c>
      <c r="E249" s="94">
        <f t="shared" si="374"/>
        <v>533</v>
      </c>
      <c r="F249" s="94">
        <f t="shared" si="374"/>
        <v>616</v>
      </c>
      <c r="G249" s="94">
        <f t="shared" si="374"/>
        <v>498</v>
      </c>
      <c r="H249" s="682">
        <f>H250-SUM(H228:H248)</f>
        <v>433</v>
      </c>
      <c r="I249" s="642">
        <f t="shared" ref="I249" si="375">I250-SUM(I228:I248)</f>
        <v>2</v>
      </c>
      <c r="J249" s="642">
        <f t="shared" ref="J249" si="376">J250-SUM(J228:J248)</f>
        <v>20</v>
      </c>
      <c r="K249" s="255">
        <f>ROUND(((J249/I249-1)*100), 1)</f>
        <v>900</v>
      </c>
      <c r="L249" s="386">
        <f>L250-SUM(L228:L248)</f>
        <v>112</v>
      </c>
      <c r="M249" s="547">
        <f>M250-SUM(M228:M248)</f>
        <v>47</v>
      </c>
      <c r="N249" s="255">
        <f>ROUND(((M249/L249-1)*100), 1)</f>
        <v>-58</v>
      </c>
      <c r="O249" s="547">
        <f>O250-SUM(O228:O248)</f>
        <v>114</v>
      </c>
      <c r="P249" s="547">
        <f t="shared" ref="P249" si="377">P250-SUM(P228:P248)</f>
        <v>67</v>
      </c>
      <c r="Q249" s="255">
        <f>ROUND(((P249/O249-1)*100), 1)</f>
        <v>-41.2</v>
      </c>
      <c r="R249" s="574">
        <f>R250-SUM(R228:R248)</f>
        <v>7</v>
      </c>
      <c r="S249" s="547">
        <f>S250-SUM(S228:S248)</f>
        <v>3</v>
      </c>
      <c r="T249" s="255">
        <f>ROUND(((S249/R249-1)*100), 1)</f>
        <v>-57.1</v>
      </c>
      <c r="U249" s="547">
        <f>U250-SUM(U228:U248)</f>
        <v>121</v>
      </c>
      <c r="V249" s="547">
        <f t="shared" ref="V249" si="378">V250-SUM(V228:V248)</f>
        <v>70</v>
      </c>
      <c r="W249" s="255">
        <f t="shared" ref="W249:W251" si="379">ROUND(((V249/U249-1)*100), 1)</f>
        <v>-42.1</v>
      </c>
      <c r="X249" s="386">
        <f>X250-SUM(X228:X248)</f>
        <v>54</v>
      </c>
      <c r="Y249" s="547">
        <f>Y250-SUM(Y228:Y248)</f>
        <v>8</v>
      </c>
      <c r="Z249" s="255">
        <f>ROUND(((Y249/X249-1)*100), 1)</f>
        <v>-85.2</v>
      </c>
      <c r="AA249" s="642">
        <f>AA250-SUM(AA228:AA248)</f>
        <v>175</v>
      </c>
      <c r="AB249" s="642">
        <f t="shared" ref="AB249" si="380">AB250-SUM(AB228:AB248)</f>
        <v>78</v>
      </c>
      <c r="AC249" s="255">
        <f t="shared" si="372"/>
        <v>-55.4</v>
      </c>
      <c r="AD249" s="386">
        <f>AD250-SUM(AD228:AD248)</f>
        <v>37</v>
      </c>
      <c r="AE249" s="574">
        <f>AE250-SUM(AE228:AE248)</f>
        <v>11</v>
      </c>
      <c r="AF249" s="255">
        <f>ROUND(((AE249/AD249-1)*100), 1)</f>
        <v>-70.3</v>
      </c>
      <c r="AG249" s="478">
        <f>AG250-SUM(AG228:AG248)</f>
        <v>212</v>
      </c>
      <c r="AH249" s="547">
        <f t="shared" ref="AH249" si="381">AH250-SUM(AH228:AH248)</f>
        <v>89</v>
      </c>
      <c r="AI249" s="255">
        <f t="shared" si="371"/>
        <v>-58</v>
      </c>
    </row>
    <row r="250" spans="1:35">
      <c r="A250" s="92"/>
      <c r="B250" s="748"/>
      <c r="C250" s="41" t="s">
        <v>216</v>
      </c>
      <c r="D250" s="95">
        <v>176253</v>
      </c>
      <c r="E250" s="95">
        <v>201495</v>
      </c>
      <c r="F250" s="95">
        <v>236054</v>
      </c>
      <c r="G250" s="95">
        <v>250684</v>
      </c>
      <c r="H250" s="683">
        <v>259418</v>
      </c>
      <c r="I250" s="644">
        <v>22683</v>
      </c>
      <c r="J250" s="644">
        <v>19853</v>
      </c>
      <c r="K250" s="256">
        <f>ROUND(((J250/I250-1)*100), 1)</f>
        <v>-12.5</v>
      </c>
      <c r="L250" s="381">
        <f>O250-I250</f>
        <v>15154</v>
      </c>
      <c r="M250" s="548">
        <f>P250-J250</f>
        <v>18918</v>
      </c>
      <c r="N250" s="256">
        <f>ROUND(((M250/L250-1)*100), 1)</f>
        <v>24.8</v>
      </c>
      <c r="O250" s="548">
        <v>37837</v>
      </c>
      <c r="P250" s="548">
        <v>38771</v>
      </c>
      <c r="Q250" s="256">
        <f>ROUND(((P250/O250-1)*100), 1)</f>
        <v>2.5</v>
      </c>
      <c r="R250" s="554">
        <f>U250-O250</f>
        <v>24554</v>
      </c>
      <c r="S250" s="548">
        <f>V250-P250</f>
        <v>25109</v>
      </c>
      <c r="T250" s="256">
        <f>ROUND(((S250/R250-1)*100), 1)</f>
        <v>2.2999999999999998</v>
      </c>
      <c r="U250" s="548">
        <v>62391</v>
      </c>
      <c r="V250" s="548">
        <v>63880</v>
      </c>
      <c r="W250" s="256">
        <f t="shared" si="379"/>
        <v>2.4</v>
      </c>
      <c r="X250" s="381">
        <f>AA250-U250</f>
        <v>24197</v>
      </c>
      <c r="Y250" s="548">
        <f>AB250-V250</f>
        <v>23901</v>
      </c>
      <c r="Z250" s="256">
        <f>ROUND(((Y250/X250-1)*100), 1)</f>
        <v>-1.2</v>
      </c>
      <c r="AA250" s="644">
        <v>86588</v>
      </c>
      <c r="AB250" s="644">
        <v>87781</v>
      </c>
      <c r="AC250" s="256">
        <f t="shared" si="372"/>
        <v>1.4</v>
      </c>
      <c r="AD250" s="381">
        <f>AG250-AA250</f>
        <v>23067</v>
      </c>
      <c r="AE250" s="554">
        <f>AH250-AB250</f>
        <v>23633</v>
      </c>
      <c r="AF250" s="256">
        <f>ROUND(((AE250/AD250-1)*100), 1)</f>
        <v>2.5</v>
      </c>
      <c r="AG250" s="479">
        <v>109655</v>
      </c>
      <c r="AH250" s="548">
        <v>111414</v>
      </c>
      <c r="AI250" s="256">
        <f t="shared" si="371"/>
        <v>1.6</v>
      </c>
    </row>
    <row r="251" spans="1:35">
      <c r="A251" s="93"/>
      <c r="B251" s="844" t="s">
        <v>171</v>
      </c>
      <c r="C251" s="828"/>
      <c r="D251" s="95">
        <f t="shared" ref="D251:G251" si="382">SUM(D227+D250)</f>
        <v>211496</v>
      </c>
      <c r="E251" s="95">
        <f t="shared" si="382"/>
        <v>274711</v>
      </c>
      <c r="F251" s="103">
        <f t="shared" si="382"/>
        <v>407148</v>
      </c>
      <c r="G251" s="103">
        <f t="shared" si="382"/>
        <v>346574</v>
      </c>
      <c r="H251" s="684">
        <f>SUM(H227+H250)</f>
        <v>302206</v>
      </c>
      <c r="I251" s="649">
        <f t="shared" ref="I251" si="383">SUM(I227+I250)</f>
        <v>25138</v>
      </c>
      <c r="J251" s="649">
        <f t="shared" ref="J251" si="384">SUM(J227+J250)</f>
        <v>22396</v>
      </c>
      <c r="K251" s="256">
        <f>ROUND(((J251/I251-1)*100), 1)</f>
        <v>-10.9</v>
      </c>
      <c r="L251" s="380">
        <f>SUM(L227+L250)</f>
        <v>16959</v>
      </c>
      <c r="M251" s="551">
        <f>SUM(M227+M250)</f>
        <v>21795</v>
      </c>
      <c r="N251" s="256">
        <f>ROUND(((M251/L251-1)*100), 1)</f>
        <v>28.5</v>
      </c>
      <c r="O251" s="551">
        <f>SUM(O227+O250)</f>
        <v>42097</v>
      </c>
      <c r="P251" s="551">
        <f t="shared" ref="P251" si="385">SUM(P227+P250)</f>
        <v>44191</v>
      </c>
      <c r="Q251" s="256">
        <f>ROUND(((P251/O251-1)*100), 1)</f>
        <v>5</v>
      </c>
      <c r="R251" s="553">
        <f>SUM(R227+R250)</f>
        <v>27494</v>
      </c>
      <c r="S251" s="551">
        <f>SUM(S227+S250)</f>
        <v>29538</v>
      </c>
      <c r="T251" s="256">
        <f>ROUND(((S251/R251-1)*100), 1)</f>
        <v>7.4</v>
      </c>
      <c r="U251" s="551">
        <f>SUM(U227+U250)</f>
        <v>69591</v>
      </c>
      <c r="V251" s="551">
        <f t="shared" ref="V251" si="386">SUM(V227+V250)</f>
        <v>73729</v>
      </c>
      <c r="W251" s="256">
        <f t="shared" si="379"/>
        <v>5.9</v>
      </c>
      <c r="X251" s="380">
        <f>SUM(X227+X250)</f>
        <v>32306</v>
      </c>
      <c r="Y251" s="551">
        <f>SUM(Y227+Y250)</f>
        <v>28076</v>
      </c>
      <c r="Z251" s="256">
        <f>ROUND(((Y251/X251-1)*100), 1)</f>
        <v>-13.1</v>
      </c>
      <c r="AA251" s="649">
        <f>SUM(AA227+AA250)</f>
        <v>101897</v>
      </c>
      <c r="AB251" s="649">
        <f t="shared" ref="AB251" si="387">SUM(AB227+AB250)</f>
        <v>101805</v>
      </c>
      <c r="AC251" s="256">
        <f t="shared" si="372"/>
        <v>-0.1</v>
      </c>
      <c r="AD251" s="380">
        <f>SUM(AD227+AD250)</f>
        <v>29693</v>
      </c>
      <c r="AE251" s="553">
        <f>SUM(AE227+AE250)</f>
        <v>26884</v>
      </c>
      <c r="AF251" s="256">
        <f>ROUND(((AE251/AD251-1)*100), 1)</f>
        <v>-9.5</v>
      </c>
      <c r="AG251" s="480">
        <f>SUM(AG227+AG250)</f>
        <v>131590</v>
      </c>
      <c r="AH251" s="551">
        <f t="shared" ref="AH251" si="388">SUM(AH227+AH250)</f>
        <v>128689</v>
      </c>
      <c r="AI251" s="256">
        <f t="shared" si="371"/>
        <v>-2.2000000000000002</v>
      </c>
    </row>
    <row r="252" spans="1:35">
      <c r="A252" s="51" t="s">
        <v>111</v>
      </c>
      <c r="K252" s="248"/>
    </row>
    <row r="253" spans="1:35">
      <c r="F253" s="59"/>
      <c r="K253" s="248"/>
    </row>
    <row r="254" spans="1:35">
      <c r="A254" s="162" t="s">
        <v>218</v>
      </c>
      <c r="B254" s="97"/>
      <c r="C254" s="97"/>
      <c r="D254" s="98"/>
      <c r="F254" s="267"/>
      <c r="H254" s="267" t="s">
        <v>314</v>
      </c>
      <c r="I254" s="645"/>
      <c r="J254" s="645"/>
      <c r="K254" s="252"/>
      <c r="L254" s="98"/>
      <c r="M254" s="569"/>
      <c r="N254" s="264"/>
      <c r="O254" s="569"/>
      <c r="P254" s="569"/>
      <c r="Q254" s="264"/>
      <c r="R254" s="569"/>
      <c r="S254" s="569"/>
      <c r="T254" s="264"/>
      <c r="U254" s="569"/>
      <c r="V254" s="569"/>
      <c r="W254" s="264"/>
      <c r="X254" s="98"/>
      <c r="Y254" s="569"/>
      <c r="Z254" s="264"/>
      <c r="AA254" s="645"/>
      <c r="AB254" s="645"/>
      <c r="AC254" s="264"/>
      <c r="AD254" s="98"/>
      <c r="AE254" s="569"/>
      <c r="AF254" s="264"/>
      <c r="AG254" s="569"/>
      <c r="AH254" s="569"/>
      <c r="AI254" s="264"/>
    </row>
    <row r="255" spans="1:35">
      <c r="A255" s="97"/>
      <c r="B255" s="97"/>
      <c r="C255" s="97"/>
      <c r="D255" s="98"/>
      <c r="F255" s="79"/>
      <c r="H255" s="267" t="s">
        <v>219</v>
      </c>
      <c r="I255" s="645"/>
      <c r="J255" s="645"/>
      <c r="K255" s="252"/>
      <c r="L255" s="98"/>
      <c r="M255" s="569"/>
      <c r="N255" s="264"/>
      <c r="O255" s="569"/>
      <c r="P255" s="569"/>
      <c r="Q255" s="264"/>
      <c r="R255" s="569"/>
      <c r="S255" s="569"/>
      <c r="T255" s="264"/>
      <c r="U255" s="569"/>
      <c r="V255" s="569"/>
      <c r="W255" s="264"/>
      <c r="X255" s="98"/>
      <c r="Y255" s="569"/>
      <c r="Z255" s="264"/>
      <c r="AA255" s="645"/>
      <c r="AB255" s="645"/>
      <c r="AC255" s="264"/>
      <c r="AD255" s="98"/>
      <c r="AE255" s="569"/>
      <c r="AF255" s="264"/>
      <c r="AG255" s="569"/>
      <c r="AH255" s="569"/>
      <c r="AI255" s="264"/>
    </row>
    <row r="256" spans="1:35">
      <c r="A256" s="26"/>
      <c r="B256" s="26"/>
      <c r="D256" s="71"/>
      <c r="E256" s="71"/>
      <c r="F256" s="266"/>
      <c r="G256" s="266"/>
      <c r="H256" s="567"/>
      <c r="I256" s="624"/>
      <c r="J256" s="624"/>
      <c r="K256" s="258" t="s">
        <v>87</v>
      </c>
      <c r="L256" s="266"/>
      <c r="M256" s="567"/>
      <c r="N256" s="262"/>
      <c r="O256" s="567"/>
      <c r="P256" s="567"/>
      <c r="Q256" s="262" t="s">
        <v>87</v>
      </c>
      <c r="R256" s="567"/>
      <c r="S256" s="567"/>
      <c r="T256" s="262"/>
      <c r="U256" s="567"/>
      <c r="V256" s="567"/>
      <c r="W256" s="262" t="s">
        <v>87</v>
      </c>
      <c r="X256" s="266"/>
      <c r="Y256" s="567"/>
      <c r="Z256" s="262"/>
      <c r="AA256" s="624"/>
      <c r="AB256" s="624"/>
      <c r="AC256" s="262" t="s">
        <v>87</v>
      </c>
      <c r="AD256" s="266"/>
      <c r="AE256" s="567"/>
      <c r="AF256" s="262"/>
      <c r="AG256" s="567"/>
      <c r="AH256" s="567"/>
      <c r="AI256" s="262" t="s">
        <v>87</v>
      </c>
    </row>
    <row r="257" spans="1:35" s="367" customFormat="1" ht="18" customHeight="1">
      <c r="A257" s="733" t="s">
        <v>88</v>
      </c>
      <c r="B257" s="733"/>
      <c r="C257" s="733"/>
      <c r="D257" s="855" t="s">
        <v>2</v>
      </c>
      <c r="E257" s="855" t="s">
        <v>559</v>
      </c>
      <c r="F257" s="855" t="s">
        <v>76</v>
      </c>
      <c r="G257" s="856" t="s">
        <v>294</v>
      </c>
      <c r="H257" s="856" t="s">
        <v>431</v>
      </c>
      <c r="I257" s="854" t="s">
        <v>33</v>
      </c>
      <c r="J257" s="855"/>
      <c r="K257" s="733"/>
      <c r="L257" s="852" t="s">
        <v>553</v>
      </c>
      <c r="M257" s="853"/>
      <c r="N257" s="733"/>
      <c r="O257" s="852" t="s">
        <v>554</v>
      </c>
      <c r="P257" s="853"/>
      <c r="Q257" s="733"/>
      <c r="R257" s="852" t="s">
        <v>555</v>
      </c>
      <c r="S257" s="853"/>
      <c r="T257" s="733"/>
      <c r="U257" s="852" t="s">
        <v>556</v>
      </c>
      <c r="V257" s="853"/>
      <c r="W257" s="733"/>
      <c r="X257" s="852" t="s">
        <v>484</v>
      </c>
      <c r="Y257" s="853"/>
      <c r="Z257" s="733"/>
      <c r="AA257" s="852" t="s">
        <v>486</v>
      </c>
      <c r="AB257" s="853"/>
      <c r="AC257" s="733"/>
      <c r="AD257" s="852" t="s">
        <v>557</v>
      </c>
      <c r="AE257" s="853"/>
      <c r="AF257" s="733"/>
      <c r="AG257" s="852" t="s">
        <v>558</v>
      </c>
      <c r="AH257" s="853"/>
      <c r="AI257" s="733"/>
    </row>
    <row r="258" spans="1:35" s="367" customFormat="1" ht="18" customHeight="1">
      <c r="A258" s="733"/>
      <c r="B258" s="733"/>
      <c r="C258" s="733"/>
      <c r="D258" s="855"/>
      <c r="E258" s="855"/>
      <c r="F258" s="855"/>
      <c r="G258" s="857"/>
      <c r="H258" s="857"/>
      <c r="I258" s="699" t="s">
        <v>431</v>
      </c>
      <c r="J258" s="650" t="s">
        <v>503</v>
      </c>
      <c r="K258" s="688" t="s">
        <v>5</v>
      </c>
      <c r="L258" s="687" t="s">
        <v>431</v>
      </c>
      <c r="M258" s="586" t="s">
        <v>503</v>
      </c>
      <c r="N258" s="688" t="s">
        <v>5</v>
      </c>
      <c r="O258" s="687" t="s">
        <v>431</v>
      </c>
      <c r="P258" s="586" t="s">
        <v>503</v>
      </c>
      <c r="Q258" s="688" t="s">
        <v>5</v>
      </c>
      <c r="R258" s="687" t="s">
        <v>431</v>
      </c>
      <c r="S258" s="586" t="s">
        <v>503</v>
      </c>
      <c r="T258" s="688" t="s">
        <v>5</v>
      </c>
      <c r="U258" s="687" t="s">
        <v>431</v>
      </c>
      <c r="V258" s="586" t="s">
        <v>503</v>
      </c>
      <c r="W258" s="688" t="s">
        <v>5</v>
      </c>
      <c r="X258" s="687" t="s">
        <v>431</v>
      </c>
      <c r="Y258" s="586" t="s">
        <v>503</v>
      </c>
      <c r="Z258" s="688" t="s">
        <v>5</v>
      </c>
      <c r="AA258" s="699" t="s">
        <v>431</v>
      </c>
      <c r="AB258" s="650" t="s">
        <v>503</v>
      </c>
      <c r="AC258" s="688" t="s">
        <v>5</v>
      </c>
      <c r="AD258" s="687" t="s">
        <v>431</v>
      </c>
      <c r="AE258" s="586" t="s">
        <v>503</v>
      </c>
      <c r="AF258" s="688" t="s">
        <v>5</v>
      </c>
      <c r="AG258" s="687" t="s">
        <v>431</v>
      </c>
      <c r="AH258" s="586" t="s">
        <v>503</v>
      </c>
      <c r="AI258" s="688" t="s">
        <v>5</v>
      </c>
    </row>
    <row r="259" spans="1:35">
      <c r="A259" s="92"/>
      <c r="B259" s="7" t="s">
        <v>220</v>
      </c>
      <c r="C259" s="99" t="s">
        <v>106</v>
      </c>
      <c r="D259" s="94">
        <v>2513</v>
      </c>
      <c r="E259" s="94">
        <v>7147</v>
      </c>
      <c r="F259" s="102">
        <v>25555</v>
      </c>
      <c r="G259" s="94">
        <v>23844</v>
      </c>
      <c r="H259" s="94">
        <v>31644</v>
      </c>
      <c r="I259" s="642">
        <v>2231</v>
      </c>
      <c r="J259" s="642">
        <v>2606</v>
      </c>
      <c r="K259" s="255">
        <f t="shared" ref="K259:K279" si="389">ROUND(((J259/I259-1)*100), 1)</f>
        <v>16.8</v>
      </c>
      <c r="L259" s="386">
        <f t="shared" ref="L259:M266" si="390">O259-I259</f>
        <v>2290</v>
      </c>
      <c r="M259" s="547">
        <f t="shared" si="390"/>
        <v>3038</v>
      </c>
      <c r="N259" s="255">
        <f t="shared" ref="N259:N266" si="391">ROUND(((M259/L259-1)*100), 1)</f>
        <v>32.700000000000003</v>
      </c>
      <c r="O259" s="547">
        <v>4521</v>
      </c>
      <c r="P259" s="547">
        <v>5644</v>
      </c>
      <c r="Q259" s="255">
        <f t="shared" ref="Q259:Q279" si="392">ROUND(((P259/O259-1)*100), 1)</f>
        <v>24.8</v>
      </c>
      <c r="R259" s="574">
        <f t="shared" ref="R259:R266" si="393">U259-O259</f>
        <v>2326</v>
      </c>
      <c r="S259" s="547">
        <f t="shared" ref="S259:S266" si="394">V259-P259</f>
        <v>2975</v>
      </c>
      <c r="T259" s="255">
        <f t="shared" ref="T259:T266" si="395">ROUND(((S259/R259-1)*100), 1)</f>
        <v>27.9</v>
      </c>
      <c r="U259" s="547">
        <v>6847</v>
      </c>
      <c r="V259" s="547">
        <v>8619</v>
      </c>
      <c r="W259" s="255">
        <f t="shared" ref="W259:W280" si="396">ROUND(((V259/U259-1)*100), 1)</f>
        <v>25.9</v>
      </c>
      <c r="X259" s="386">
        <f t="shared" ref="X259:Y262" si="397">AA259-U259</f>
        <v>2729</v>
      </c>
      <c r="Y259" s="547">
        <f t="shared" si="397"/>
        <v>2786</v>
      </c>
      <c r="Z259" s="255">
        <f t="shared" ref="Z259:Z262" si="398">ROUND(((Y259/X259-1)*100), 1)</f>
        <v>2.1</v>
      </c>
      <c r="AA259" s="642">
        <v>9576</v>
      </c>
      <c r="AB259" s="642">
        <v>11405</v>
      </c>
      <c r="AC259" s="255">
        <f t="shared" ref="AC259:AC280" si="399">ROUND(((AB259/AA259-1)*100), 1)</f>
        <v>19.100000000000001</v>
      </c>
      <c r="AD259" s="386">
        <f t="shared" ref="AD259:AE263" si="400">AG259-AA259</f>
        <v>2857</v>
      </c>
      <c r="AE259" s="574">
        <f t="shared" si="400"/>
        <v>2416</v>
      </c>
      <c r="AF259" s="255">
        <f>ROUND(((AE259/AD259-1)*100), 1)</f>
        <v>-15.4</v>
      </c>
      <c r="AG259" s="547">
        <v>12433</v>
      </c>
      <c r="AH259" s="547">
        <v>13821</v>
      </c>
      <c r="AI259" s="255">
        <f t="shared" ref="AI259:AI266" si="401">ROUND(((AH259/AG259-1)*100), 1)</f>
        <v>11.2</v>
      </c>
    </row>
    <row r="260" spans="1:35">
      <c r="A260" s="92" t="s">
        <v>90</v>
      </c>
      <c r="B260" s="3" t="s">
        <v>221</v>
      </c>
      <c r="C260" s="101" t="s">
        <v>89</v>
      </c>
      <c r="D260" s="94">
        <v>3591</v>
      </c>
      <c r="E260" s="94">
        <v>3746</v>
      </c>
      <c r="F260" s="102">
        <v>5895</v>
      </c>
      <c r="G260" s="94">
        <v>7114</v>
      </c>
      <c r="H260" s="94">
        <v>8734</v>
      </c>
      <c r="I260" s="642">
        <v>623</v>
      </c>
      <c r="J260" s="642">
        <v>1009</v>
      </c>
      <c r="K260" s="255">
        <f t="shared" si="389"/>
        <v>62</v>
      </c>
      <c r="L260" s="386">
        <f t="shared" si="390"/>
        <v>366</v>
      </c>
      <c r="M260" s="547">
        <f t="shared" si="390"/>
        <v>792</v>
      </c>
      <c r="N260" s="255">
        <f t="shared" si="391"/>
        <v>116.4</v>
      </c>
      <c r="O260" s="547">
        <v>989</v>
      </c>
      <c r="P260" s="547">
        <v>1801</v>
      </c>
      <c r="Q260" s="255">
        <f t="shared" si="392"/>
        <v>82.1</v>
      </c>
      <c r="R260" s="574">
        <f t="shared" si="393"/>
        <v>651</v>
      </c>
      <c r="S260" s="547">
        <f t="shared" si="394"/>
        <v>887</v>
      </c>
      <c r="T260" s="255">
        <f t="shared" si="395"/>
        <v>36.299999999999997</v>
      </c>
      <c r="U260" s="547">
        <v>1640</v>
      </c>
      <c r="V260" s="547">
        <v>2688</v>
      </c>
      <c r="W260" s="255">
        <f t="shared" si="396"/>
        <v>63.9</v>
      </c>
      <c r="X260" s="386">
        <f t="shared" si="397"/>
        <v>715</v>
      </c>
      <c r="Y260" s="547">
        <f t="shared" si="397"/>
        <v>998</v>
      </c>
      <c r="Z260" s="255">
        <f t="shared" si="398"/>
        <v>39.6</v>
      </c>
      <c r="AA260" s="642">
        <v>2355</v>
      </c>
      <c r="AB260" s="642">
        <v>3686</v>
      </c>
      <c r="AC260" s="255">
        <f t="shared" si="399"/>
        <v>56.5</v>
      </c>
      <c r="AD260" s="386">
        <f t="shared" si="400"/>
        <v>554</v>
      </c>
      <c r="AE260" s="574">
        <f t="shared" si="400"/>
        <v>1028</v>
      </c>
      <c r="AF260" s="255">
        <f>ROUND(((AE260/AD260-1)*100), 1)</f>
        <v>85.6</v>
      </c>
      <c r="AG260" s="547">
        <v>2909</v>
      </c>
      <c r="AH260" s="547">
        <v>4714</v>
      </c>
      <c r="AI260" s="255">
        <f t="shared" si="401"/>
        <v>62</v>
      </c>
    </row>
    <row r="261" spans="1:35">
      <c r="A261" s="92"/>
      <c r="B261" s="3" t="s">
        <v>222</v>
      </c>
      <c r="C261" s="101" t="s">
        <v>45</v>
      </c>
      <c r="D261" s="94">
        <v>2612</v>
      </c>
      <c r="E261" s="94">
        <v>9846</v>
      </c>
      <c r="F261" s="102">
        <v>7429</v>
      </c>
      <c r="G261" s="94">
        <v>7089</v>
      </c>
      <c r="H261" s="94">
        <v>7221</v>
      </c>
      <c r="I261" s="642">
        <v>421</v>
      </c>
      <c r="J261" s="642">
        <v>404</v>
      </c>
      <c r="K261" s="255">
        <f t="shared" si="389"/>
        <v>-4</v>
      </c>
      <c r="L261" s="386">
        <f t="shared" si="390"/>
        <v>650</v>
      </c>
      <c r="M261" s="547">
        <f t="shared" si="390"/>
        <v>265</v>
      </c>
      <c r="N261" s="255">
        <f t="shared" si="391"/>
        <v>-59.2</v>
      </c>
      <c r="O261" s="547">
        <v>1071</v>
      </c>
      <c r="P261" s="547">
        <v>669</v>
      </c>
      <c r="Q261" s="255">
        <f t="shared" si="392"/>
        <v>-37.5</v>
      </c>
      <c r="R261" s="574">
        <f t="shared" si="393"/>
        <v>742</v>
      </c>
      <c r="S261" s="547">
        <f t="shared" si="394"/>
        <v>320</v>
      </c>
      <c r="T261" s="255">
        <f t="shared" si="395"/>
        <v>-56.9</v>
      </c>
      <c r="U261" s="547">
        <v>1813</v>
      </c>
      <c r="V261" s="547">
        <v>989</v>
      </c>
      <c r="W261" s="255">
        <f t="shared" si="396"/>
        <v>-45.4</v>
      </c>
      <c r="X261" s="386">
        <f t="shared" si="397"/>
        <v>231</v>
      </c>
      <c r="Y261" s="547">
        <f t="shared" si="397"/>
        <v>480</v>
      </c>
      <c r="Z261" s="255">
        <f t="shared" si="398"/>
        <v>107.8</v>
      </c>
      <c r="AA261" s="642">
        <v>2044</v>
      </c>
      <c r="AB261" s="642">
        <v>1469</v>
      </c>
      <c r="AC261" s="255">
        <f t="shared" si="399"/>
        <v>-28.1</v>
      </c>
      <c r="AD261" s="386">
        <f t="shared" si="400"/>
        <v>273</v>
      </c>
      <c r="AE261" s="574">
        <f t="shared" si="400"/>
        <v>459</v>
      </c>
      <c r="AF261" s="255">
        <f>ROUND(((AE261/AD261-1)*100), 1)</f>
        <v>68.099999999999994</v>
      </c>
      <c r="AG261" s="547">
        <v>2317</v>
      </c>
      <c r="AH261" s="547">
        <v>1928</v>
      </c>
      <c r="AI261" s="255">
        <f t="shared" si="401"/>
        <v>-16.8</v>
      </c>
    </row>
    <row r="262" spans="1:35">
      <c r="A262" s="92"/>
      <c r="B262" s="3"/>
      <c r="C262" s="101" t="s">
        <v>322</v>
      </c>
      <c r="D262" s="94">
        <v>0</v>
      </c>
      <c r="E262" s="94">
        <v>0</v>
      </c>
      <c r="F262" s="102">
        <v>128</v>
      </c>
      <c r="G262" s="94">
        <v>1791</v>
      </c>
      <c r="H262" s="94">
        <v>4199</v>
      </c>
      <c r="I262" s="642">
        <v>181</v>
      </c>
      <c r="J262" s="642">
        <v>554</v>
      </c>
      <c r="K262" s="255">
        <f t="shared" si="389"/>
        <v>206.1</v>
      </c>
      <c r="L262" s="386">
        <f t="shared" si="390"/>
        <v>256</v>
      </c>
      <c r="M262" s="547">
        <f t="shared" si="390"/>
        <v>533</v>
      </c>
      <c r="N262" s="255">
        <f t="shared" si="391"/>
        <v>108.2</v>
      </c>
      <c r="O262" s="547">
        <v>437</v>
      </c>
      <c r="P262" s="547">
        <v>1087</v>
      </c>
      <c r="Q262" s="255">
        <f t="shared" si="392"/>
        <v>148.69999999999999</v>
      </c>
      <c r="R262" s="574">
        <f t="shared" si="393"/>
        <v>293</v>
      </c>
      <c r="S262" s="547">
        <f t="shared" si="394"/>
        <v>642</v>
      </c>
      <c r="T262" s="255">
        <f t="shared" si="395"/>
        <v>119.1</v>
      </c>
      <c r="U262" s="547">
        <v>730</v>
      </c>
      <c r="V262" s="547">
        <v>1729</v>
      </c>
      <c r="W262" s="255">
        <f t="shared" si="396"/>
        <v>136.80000000000001</v>
      </c>
      <c r="X262" s="386">
        <f t="shared" si="397"/>
        <v>311</v>
      </c>
      <c r="Y262" s="547">
        <f t="shared" si="397"/>
        <v>732</v>
      </c>
      <c r="Z262" s="255">
        <f t="shared" si="398"/>
        <v>135.4</v>
      </c>
      <c r="AA262" s="642">
        <v>1041</v>
      </c>
      <c r="AB262" s="642">
        <v>2461</v>
      </c>
      <c r="AC262" s="255">
        <f t="shared" si="399"/>
        <v>136.4</v>
      </c>
      <c r="AD262" s="386">
        <f t="shared" si="400"/>
        <v>283</v>
      </c>
      <c r="AE262" s="574">
        <f t="shared" si="400"/>
        <v>695</v>
      </c>
      <c r="AF262" s="255">
        <f>ROUND(((AE262/AD262-1)*100), 1)</f>
        <v>145.6</v>
      </c>
      <c r="AG262" s="547">
        <v>1324</v>
      </c>
      <c r="AH262" s="547">
        <v>3156</v>
      </c>
      <c r="AI262" s="255">
        <f t="shared" si="401"/>
        <v>138.4</v>
      </c>
    </row>
    <row r="263" spans="1:35">
      <c r="A263" s="92"/>
      <c r="B263" s="3"/>
      <c r="C263" s="101" t="s">
        <v>198</v>
      </c>
      <c r="D263" s="94">
        <v>2957</v>
      </c>
      <c r="E263" s="94">
        <v>1823</v>
      </c>
      <c r="F263" s="102">
        <v>56</v>
      </c>
      <c r="G263" s="94">
        <v>2542</v>
      </c>
      <c r="H263" s="94">
        <v>3328</v>
      </c>
      <c r="I263" s="642">
        <v>301</v>
      </c>
      <c r="J263" s="642">
        <v>171</v>
      </c>
      <c r="K263" s="255">
        <f t="shared" si="389"/>
        <v>-43.2</v>
      </c>
      <c r="L263" s="386">
        <f t="shared" si="390"/>
        <v>312</v>
      </c>
      <c r="M263" s="547">
        <f t="shared" si="390"/>
        <v>309</v>
      </c>
      <c r="N263" s="255">
        <f t="shared" si="391"/>
        <v>-1</v>
      </c>
      <c r="O263" s="547">
        <v>613</v>
      </c>
      <c r="P263" s="547">
        <v>480</v>
      </c>
      <c r="Q263" s="255">
        <f t="shared" si="392"/>
        <v>-21.7</v>
      </c>
      <c r="R263" s="574">
        <f t="shared" si="393"/>
        <v>400</v>
      </c>
      <c r="S263" s="547">
        <f t="shared" si="394"/>
        <v>395</v>
      </c>
      <c r="T263" s="255">
        <f t="shared" si="395"/>
        <v>-1.3</v>
      </c>
      <c r="U263" s="547">
        <v>1013</v>
      </c>
      <c r="V263" s="547">
        <v>875</v>
      </c>
      <c r="W263" s="541">
        <f t="shared" si="396"/>
        <v>-13.6</v>
      </c>
      <c r="X263" s="574">
        <f t="shared" ref="X263:X278" si="402">AA263-U263</f>
        <v>407</v>
      </c>
      <c r="Y263" s="547">
        <f t="shared" ref="Y263:Y278" si="403">AB263-V263</f>
        <v>243</v>
      </c>
      <c r="Z263" s="541">
        <f t="shared" ref="Z263:Z280" si="404">ROUND(((Y263/X263-1)*100), 1)</f>
        <v>-40.299999999999997</v>
      </c>
      <c r="AA263" s="642">
        <v>1420</v>
      </c>
      <c r="AB263" s="642">
        <v>1118</v>
      </c>
      <c r="AC263" s="541">
        <f t="shared" si="399"/>
        <v>-21.3</v>
      </c>
      <c r="AD263" s="386">
        <f t="shared" si="400"/>
        <v>354</v>
      </c>
      <c r="AE263" s="574">
        <f t="shared" si="400"/>
        <v>158</v>
      </c>
      <c r="AF263" s="255">
        <f>ROUND(((AE263/AD263-1)*100), 1)</f>
        <v>-55.4</v>
      </c>
      <c r="AG263" s="547">
        <v>1774</v>
      </c>
      <c r="AH263" s="547">
        <v>1276</v>
      </c>
      <c r="AI263" s="255">
        <f t="shared" si="401"/>
        <v>-28.1</v>
      </c>
    </row>
    <row r="264" spans="1:35">
      <c r="A264" s="92"/>
      <c r="B264" s="3"/>
      <c r="C264" s="329" t="s">
        <v>446</v>
      </c>
      <c r="D264" s="325">
        <v>2</v>
      </c>
      <c r="E264" s="325">
        <v>23</v>
      </c>
      <c r="F264" s="425">
        <v>263</v>
      </c>
      <c r="G264" s="325">
        <v>552</v>
      </c>
      <c r="H264" s="94">
        <v>1653</v>
      </c>
      <c r="I264" s="646">
        <v>148</v>
      </c>
      <c r="J264" s="642">
        <v>122</v>
      </c>
      <c r="K264" s="544">
        <f t="shared" si="389"/>
        <v>-17.600000000000001</v>
      </c>
      <c r="L264" s="575">
        <f t="shared" si="390"/>
        <v>131</v>
      </c>
      <c r="M264" s="549">
        <f t="shared" si="390"/>
        <v>127</v>
      </c>
      <c r="N264" s="544">
        <f t="shared" si="391"/>
        <v>-3.1</v>
      </c>
      <c r="O264" s="549">
        <v>279</v>
      </c>
      <c r="P264" s="549">
        <v>249</v>
      </c>
      <c r="Q264" s="544">
        <f t="shared" si="392"/>
        <v>-10.8</v>
      </c>
      <c r="R264" s="575">
        <f t="shared" si="393"/>
        <v>201</v>
      </c>
      <c r="S264" s="549">
        <f t="shared" si="394"/>
        <v>249</v>
      </c>
      <c r="T264" s="544">
        <f t="shared" si="395"/>
        <v>23.9</v>
      </c>
      <c r="U264" s="547">
        <v>480</v>
      </c>
      <c r="V264" s="547">
        <v>498</v>
      </c>
      <c r="W264" s="541">
        <f t="shared" si="396"/>
        <v>3.8</v>
      </c>
      <c r="X264" s="574">
        <f t="shared" si="402"/>
        <v>149</v>
      </c>
      <c r="Y264" s="547">
        <f t="shared" si="403"/>
        <v>68</v>
      </c>
      <c r="Z264" s="541">
        <f t="shared" si="404"/>
        <v>-54.4</v>
      </c>
      <c r="AA264" s="642">
        <v>629</v>
      </c>
      <c r="AB264" s="642">
        <v>566</v>
      </c>
      <c r="AC264" s="541">
        <f t="shared" si="399"/>
        <v>-10</v>
      </c>
      <c r="AD264" s="574">
        <f t="shared" ref="AD264:AE280" si="405">AG264-AA264</f>
        <v>208</v>
      </c>
      <c r="AE264" s="574">
        <f t="shared" si="405"/>
        <v>113</v>
      </c>
      <c r="AF264" s="541">
        <f t="shared" ref="AF264:AF279" si="406">ROUND(((AE264/AD264-1)*100), 1)</f>
        <v>-45.7</v>
      </c>
      <c r="AG264" s="547">
        <v>837</v>
      </c>
      <c r="AH264" s="547">
        <v>679</v>
      </c>
      <c r="AI264" s="544">
        <f t="shared" si="401"/>
        <v>-18.899999999999999</v>
      </c>
    </row>
    <row r="265" spans="1:35">
      <c r="A265" s="92"/>
      <c r="B265" s="3"/>
      <c r="C265" s="101" t="s">
        <v>49</v>
      </c>
      <c r="D265" s="94">
        <v>2921</v>
      </c>
      <c r="E265" s="94">
        <v>3007</v>
      </c>
      <c r="F265" s="102">
        <v>3122</v>
      </c>
      <c r="G265" s="94">
        <v>2057</v>
      </c>
      <c r="H265" s="94">
        <v>1628</v>
      </c>
      <c r="I265" s="642">
        <v>132</v>
      </c>
      <c r="J265" s="642">
        <v>113</v>
      </c>
      <c r="K265" s="544">
        <f t="shared" si="389"/>
        <v>-14.4</v>
      </c>
      <c r="L265" s="386">
        <f t="shared" si="390"/>
        <v>140</v>
      </c>
      <c r="M265" s="547">
        <f t="shared" si="390"/>
        <v>178</v>
      </c>
      <c r="N265" s="255">
        <f t="shared" si="391"/>
        <v>27.1</v>
      </c>
      <c r="O265" s="547">
        <v>272</v>
      </c>
      <c r="P265" s="547">
        <v>291</v>
      </c>
      <c r="Q265" s="255">
        <f t="shared" si="392"/>
        <v>7</v>
      </c>
      <c r="R265" s="574">
        <f t="shared" si="393"/>
        <v>160</v>
      </c>
      <c r="S265" s="547">
        <f t="shared" si="394"/>
        <v>144</v>
      </c>
      <c r="T265" s="255">
        <f t="shared" si="395"/>
        <v>-10</v>
      </c>
      <c r="U265" s="547">
        <v>432</v>
      </c>
      <c r="V265" s="547">
        <v>435</v>
      </c>
      <c r="W265" s="541">
        <f t="shared" si="396"/>
        <v>0.7</v>
      </c>
      <c r="X265" s="574">
        <f t="shared" si="402"/>
        <v>104</v>
      </c>
      <c r="Y265" s="547">
        <f t="shared" si="403"/>
        <v>131</v>
      </c>
      <c r="Z265" s="541">
        <f t="shared" si="404"/>
        <v>26</v>
      </c>
      <c r="AA265" s="642">
        <v>536</v>
      </c>
      <c r="AB265" s="642">
        <v>566</v>
      </c>
      <c r="AC265" s="541">
        <f t="shared" si="399"/>
        <v>5.6</v>
      </c>
      <c r="AD265" s="574">
        <f t="shared" si="405"/>
        <v>108</v>
      </c>
      <c r="AE265" s="574">
        <f t="shared" si="405"/>
        <v>138</v>
      </c>
      <c r="AF265" s="541">
        <f t="shared" si="406"/>
        <v>27.8</v>
      </c>
      <c r="AG265" s="547">
        <v>644</v>
      </c>
      <c r="AH265" s="547">
        <v>704</v>
      </c>
      <c r="AI265" s="255">
        <f t="shared" si="401"/>
        <v>9.3000000000000007</v>
      </c>
    </row>
    <row r="266" spans="1:35">
      <c r="A266" s="92"/>
      <c r="B266" s="3"/>
      <c r="C266" s="101" t="s">
        <v>96</v>
      </c>
      <c r="D266" s="94">
        <v>2560</v>
      </c>
      <c r="E266" s="94">
        <v>2426</v>
      </c>
      <c r="F266" s="102">
        <v>2316</v>
      </c>
      <c r="G266" s="94">
        <v>2113</v>
      </c>
      <c r="H266" s="94">
        <v>1492</v>
      </c>
      <c r="I266" s="642">
        <v>167</v>
      </c>
      <c r="J266" s="642">
        <v>128</v>
      </c>
      <c r="K266" s="544">
        <f t="shared" si="389"/>
        <v>-23.4</v>
      </c>
      <c r="L266" s="386">
        <f t="shared" si="390"/>
        <v>113</v>
      </c>
      <c r="M266" s="547">
        <f t="shared" si="390"/>
        <v>111</v>
      </c>
      <c r="N266" s="255">
        <f t="shared" si="391"/>
        <v>-1.8</v>
      </c>
      <c r="O266" s="547">
        <v>280</v>
      </c>
      <c r="P266" s="547">
        <v>239</v>
      </c>
      <c r="Q266" s="541">
        <f t="shared" si="392"/>
        <v>-14.6</v>
      </c>
      <c r="R266" s="574">
        <f t="shared" si="393"/>
        <v>177</v>
      </c>
      <c r="S266" s="547">
        <f t="shared" si="394"/>
        <v>185</v>
      </c>
      <c r="T266" s="255">
        <f t="shared" si="395"/>
        <v>4.5</v>
      </c>
      <c r="U266" s="547">
        <v>457</v>
      </c>
      <c r="V266" s="547">
        <v>424</v>
      </c>
      <c r="W266" s="541">
        <f t="shared" si="396"/>
        <v>-7.2</v>
      </c>
      <c r="X266" s="574">
        <f t="shared" si="402"/>
        <v>72</v>
      </c>
      <c r="Y266" s="547">
        <f t="shared" si="403"/>
        <v>122</v>
      </c>
      <c r="Z266" s="541">
        <f t="shared" si="404"/>
        <v>69.400000000000006</v>
      </c>
      <c r="AA266" s="642">
        <v>529</v>
      </c>
      <c r="AB266" s="642">
        <v>546</v>
      </c>
      <c r="AC266" s="541">
        <f t="shared" si="399"/>
        <v>3.2</v>
      </c>
      <c r="AD266" s="574">
        <f t="shared" si="405"/>
        <v>226</v>
      </c>
      <c r="AE266" s="574">
        <f t="shared" si="405"/>
        <v>106</v>
      </c>
      <c r="AF266" s="541">
        <f t="shared" si="406"/>
        <v>-53.1</v>
      </c>
      <c r="AG266" s="547">
        <v>755</v>
      </c>
      <c r="AH266" s="547">
        <v>652</v>
      </c>
      <c r="AI266" s="255">
        <f t="shared" si="401"/>
        <v>-13.6</v>
      </c>
    </row>
    <row r="267" spans="1:35" s="605" customFormat="1">
      <c r="A267" s="676"/>
      <c r="B267" s="675"/>
      <c r="C267" s="101" t="s">
        <v>539</v>
      </c>
      <c r="D267" s="94">
        <v>76</v>
      </c>
      <c r="E267" s="94">
        <v>95</v>
      </c>
      <c r="F267" s="102">
        <v>98</v>
      </c>
      <c r="G267" s="94">
        <v>135</v>
      </c>
      <c r="H267" s="94">
        <v>1477</v>
      </c>
      <c r="I267" s="642">
        <v>45</v>
      </c>
      <c r="J267" s="642">
        <v>200</v>
      </c>
      <c r="K267" s="544">
        <f t="shared" si="389"/>
        <v>344.4</v>
      </c>
      <c r="L267" s="574">
        <f t="shared" ref="L267:L279" si="407">O267-I267</f>
        <v>54</v>
      </c>
      <c r="M267" s="547">
        <f t="shared" ref="M267:M279" si="408">P267-J267</f>
        <v>127</v>
      </c>
      <c r="N267" s="541">
        <f t="shared" ref="N267:N279" si="409">ROUND(((M267/L267-1)*100), 1)</f>
        <v>135.19999999999999</v>
      </c>
      <c r="O267" s="547">
        <v>99</v>
      </c>
      <c r="P267" s="547">
        <v>327</v>
      </c>
      <c r="Q267" s="541">
        <f t="shared" si="392"/>
        <v>230.3</v>
      </c>
      <c r="R267" s="574">
        <f t="shared" ref="R267:R280" si="410">U267-O267</f>
        <v>96</v>
      </c>
      <c r="S267" s="547">
        <f t="shared" ref="S267:S280" si="411">V267-P267</f>
        <v>233</v>
      </c>
      <c r="T267" s="541">
        <f t="shared" ref="T267:T280" si="412">ROUND(((S267/R267-1)*100), 1)</f>
        <v>142.69999999999999</v>
      </c>
      <c r="U267" s="547">
        <v>195</v>
      </c>
      <c r="V267" s="547">
        <v>560</v>
      </c>
      <c r="W267" s="541">
        <f t="shared" si="396"/>
        <v>187.2</v>
      </c>
      <c r="X267" s="574">
        <f t="shared" si="402"/>
        <v>81</v>
      </c>
      <c r="Y267" s="547">
        <f t="shared" si="403"/>
        <v>265</v>
      </c>
      <c r="Z267" s="541">
        <f t="shared" si="404"/>
        <v>227.2</v>
      </c>
      <c r="AA267" s="642">
        <v>276</v>
      </c>
      <c r="AB267" s="642">
        <v>825</v>
      </c>
      <c r="AC267" s="541">
        <f t="shared" si="399"/>
        <v>198.9</v>
      </c>
      <c r="AD267" s="574">
        <f t="shared" si="405"/>
        <v>112</v>
      </c>
      <c r="AE267" s="574">
        <f t="shared" si="405"/>
        <v>127</v>
      </c>
      <c r="AF267" s="541">
        <f t="shared" si="406"/>
        <v>13.4</v>
      </c>
      <c r="AG267" s="547">
        <v>388</v>
      </c>
      <c r="AH267" s="547">
        <v>952</v>
      </c>
      <c r="AI267" s="541"/>
    </row>
    <row r="268" spans="1:35">
      <c r="A268" s="92"/>
      <c r="B268" s="3"/>
      <c r="C268" s="101" t="s">
        <v>110</v>
      </c>
      <c r="D268" s="94">
        <v>1136</v>
      </c>
      <c r="E268" s="94">
        <v>1213</v>
      </c>
      <c r="F268" s="102">
        <v>190</v>
      </c>
      <c r="G268" s="94">
        <v>778</v>
      </c>
      <c r="H268" s="94">
        <v>1192</v>
      </c>
      <c r="I268" s="642">
        <v>116</v>
      </c>
      <c r="J268" s="642">
        <v>40</v>
      </c>
      <c r="K268" s="544">
        <f t="shared" si="389"/>
        <v>-65.5</v>
      </c>
      <c r="L268" s="574">
        <f t="shared" si="407"/>
        <v>17</v>
      </c>
      <c r="M268" s="547">
        <f t="shared" si="408"/>
        <v>71</v>
      </c>
      <c r="N268" s="541">
        <f t="shared" si="409"/>
        <v>317.60000000000002</v>
      </c>
      <c r="O268" s="547">
        <v>133</v>
      </c>
      <c r="P268" s="547">
        <v>111</v>
      </c>
      <c r="Q268" s="541">
        <f t="shared" si="392"/>
        <v>-16.5</v>
      </c>
      <c r="R268" s="574">
        <f t="shared" si="410"/>
        <v>142</v>
      </c>
      <c r="S268" s="547">
        <f t="shared" si="411"/>
        <v>129</v>
      </c>
      <c r="T268" s="541">
        <f t="shared" si="412"/>
        <v>-9.1999999999999993</v>
      </c>
      <c r="U268" s="547">
        <v>275</v>
      </c>
      <c r="V268" s="547">
        <v>240</v>
      </c>
      <c r="W268" s="541">
        <f t="shared" si="396"/>
        <v>-12.7</v>
      </c>
      <c r="X268" s="574">
        <f t="shared" si="402"/>
        <v>79</v>
      </c>
      <c r="Y268" s="547">
        <f t="shared" si="403"/>
        <v>202</v>
      </c>
      <c r="Z268" s="541">
        <f t="shared" si="404"/>
        <v>155.69999999999999</v>
      </c>
      <c r="AA268" s="642">
        <v>354</v>
      </c>
      <c r="AB268" s="642">
        <v>442</v>
      </c>
      <c r="AC268" s="541">
        <f t="shared" si="399"/>
        <v>24.9</v>
      </c>
      <c r="AD268" s="574">
        <f t="shared" si="405"/>
        <v>61</v>
      </c>
      <c r="AE268" s="574">
        <f t="shared" si="405"/>
        <v>107</v>
      </c>
      <c r="AF268" s="541">
        <f t="shared" si="406"/>
        <v>75.400000000000006</v>
      </c>
      <c r="AG268" s="547">
        <v>415</v>
      </c>
      <c r="AH268" s="547">
        <v>549</v>
      </c>
      <c r="AI268" s="255">
        <f t="shared" ref="AI268:AI279" si="413">ROUND(((AH268/AG268-1)*100), 1)</f>
        <v>32.299999999999997</v>
      </c>
    </row>
    <row r="269" spans="1:35">
      <c r="A269" s="92"/>
      <c r="B269" s="3"/>
      <c r="C269" s="101" t="s">
        <v>109</v>
      </c>
      <c r="D269" s="94">
        <v>4859</v>
      </c>
      <c r="E269" s="94">
        <v>3502</v>
      </c>
      <c r="F269" s="102">
        <v>4367</v>
      </c>
      <c r="G269" s="94">
        <v>3076</v>
      </c>
      <c r="H269" s="94">
        <v>1173</v>
      </c>
      <c r="I269" s="642">
        <v>119</v>
      </c>
      <c r="J269" s="642">
        <v>107</v>
      </c>
      <c r="K269" s="544">
        <f t="shared" si="389"/>
        <v>-10.1</v>
      </c>
      <c r="L269" s="574">
        <f t="shared" si="407"/>
        <v>96</v>
      </c>
      <c r="M269" s="547">
        <f t="shared" si="408"/>
        <v>92</v>
      </c>
      <c r="N269" s="541">
        <f t="shared" si="409"/>
        <v>-4.2</v>
      </c>
      <c r="O269" s="547">
        <v>215</v>
      </c>
      <c r="P269" s="547">
        <v>199</v>
      </c>
      <c r="Q269" s="541">
        <f t="shared" si="392"/>
        <v>-7.4</v>
      </c>
      <c r="R269" s="574">
        <f t="shared" si="410"/>
        <v>94</v>
      </c>
      <c r="S269" s="547">
        <f t="shared" si="411"/>
        <v>1</v>
      </c>
      <c r="T269" s="541">
        <f t="shared" si="412"/>
        <v>-98.9</v>
      </c>
      <c r="U269" s="547">
        <v>309</v>
      </c>
      <c r="V269" s="547">
        <v>200</v>
      </c>
      <c r="W269" s="541">
        <f t="shared" si="396"/>
        <v>-35.299999999999997</v>
      </c>
      <c r="X269" s="574">
        <f t="shared" si="402"/>
        <v>94</v>
      </c>
      <c r="Y269" s="547">
        <f t="shared" si="403"/>
        <v>32</v>
      </c>
      <c r="Z269" s="541">
        <f t="shared" si="404"/>
        <v>-66</v>
      </c>
      <c r="AA269" s="642">
        <v>403</v>
      </c>
      <c r="AB269" s="642">
        <v>232</v>
      </c>
      <c r="AC269" s="541">
        <f t="shared" si="399"/>
        <v>-42.4</v>
      </c>
      <c r="AD269" s="574">
        <f t="shared" si="405"/>
        <v>59</v>
      </c>
      <c r="AE269" s="574">
        <f t="shared" si="405"/>
        <v>80</v>
      </c>
      <c r="AF269" s="541">
        <f t="shared" si="406"/>
        <v>35.6</v>
      </c>
      <c r="AG269" s="547">
        <v>462</v>
      </c>
      <c r="AH269" s="547">
        <v>312</v>
      </c>
      <c r="AI269" s="255">
        <f t="shared" si="413"/>
        <v>-32.5</v>
      </c>
    </row>
    <row r="270" spans="1:35">
      <c r="A270" s="92"/>
      <c r="B270" s="3"/>
      <c r="C270" s="101" t="s">
        <v>100</v>
      </c>
      <c r="D270" s="94">
        <v>1615</v>
      </c>
      <c r="E270" s="94">
        <v>1627</v>
      </c>
      <c r="F270" s="102">
        <v>1325</v>
      </c>
      <c r="G270" s="94">
        <v>1148</v>
      </c>
      <c r="H270" s="94">
        <v>1064</v>
      </c>
      <c r="I270" s="642">
        <v>122</v>
      </c>
      <c r="J270" s="642">
        <v>92</v>
      </c>
      <c r="K270" s="544">
        <f t="shared" si="389"/>
        <v>-24.6</v>
      </c>
      <c r="L270" s="574">
        <f t="shared" si="407"/>
        <v>84</v>
      </c>
      <c r="M270" s="547">
        <f t="shared" si="408"/>
        <v>73</v>
      </c>
      <c r="N270" s="541">
        <f t="shared" si="409"/>
        <v>-13.1</v>
      </c>
      <c r="O270" s="547">
        <v>206</v>
      </c>
      <c r="P270" s="547">
        <v>165</v>
      </c>
      <c r="Q270" s="541">
        <f t="shared" si="392"/>
        <v>-19.899999999999999</v>
      </c>
      <c r="R270" s="574">
        <f t="shared" si="410"/>
        <v>111</v>
      </c>
      <c r="S270" s="547">
        <f t="shared" si="411"/>
        <v>102</v>
      </c>
      <c r="T270" s="541">
        <f t="shared" si="412"/>
        <v>-8.1</v>
      </c>
      <c r="U270" s="547">
        <v>317</v>
      </c>
      <c r="V270" s="547">
        <v>267</v>
      </c>
      <c r="W270" s="541">
        <f t="shared" si="396"/>
        <v>-15.8</v>
      </c>
      <c r="X270" s="574">
        <f t="shared" si="402"/>
        <v>88</v>
      </c>
      <c r="Y270" s="547">
        <f t="shared" si="403"/>
        <v>113</v>
      </c>
      <c r="Z270" s="541">
        <f t="shared" si="404"/>
        <v>28.4</v>
      </c>
      <c r="AA270" s="642">
        <v>405</v>
      </c>
      <c r="AB270" s="642">
        <v>380</v>
      </c>
      <c r="AC270" s="541">
        <f t="shared" si="399"/>
        <v>-6.2</v>
      </c>
      <c r="AD270" s="574">
        <f t="shared" si="405"/>
        <v>61</v>
      </c>
      <c r="AE270" s="574">
        <f t="shared" si="405"/>
        <v>88</v>
      </c>
      <c r="AF270" s="541">
        <f t="shared" si="406"/>
        <v>44.3</v>
      </c>
      <c r="AG270" s="547">
        <v>466</v>
      </c>
      <c r="AH270" s="547">
        <v>468</v>
      </c>
      <c r="AI270" s="255">
        <f t="shared" si="413"/>
        <v>0.4</v>
      </c>
    </row>
    <row r="271" spans="1:35">
      <c r="A271" s="92"/>
      <c r="B271" s="3"/>
      <c r="C271" s="101" t="s">
        <v>93</v>
      </c>
      <c r="D271" s="94">
        <v>1959</v>
      </c>
      <c r="E271" s="94">
        <v>1605</v>
      </c>
      <c r="F271" s="102">
        <v>1318</v>
      </c>
      <c r="G271" s="94">
        <v>1062</v>
      </c>
      <c r="H271" s="94">
        <v>1044</v>
      </c>
      <c r="I271" s="642">
        <v>27</v>
      </c>
      <c r="J271" s="642">
        <v>85</v>
      </c>
      <c r="K271" s="544">
        <f t="shared" si="389"/>
        <v>214.8</v>
      </c>
      <c r="L271" s="574">
        <f t="shared" si="407"/>
        <v>58</v>
      </c>
      <c r="M271" s="547">
        <f t="shared" si="408"/>
        <v>76</v>
      </c>
      <c r="N271" s="541">
        <f t="shared" si="409"/>
        <v>31</v>
      </c>
      <c r="O271" s="547">
        <v>85</v>
      </c>
      <c r="P271" s="547">
        <v>161</v>
      </c>
      <c r="Q271" s="541">
        <f t="shared" si="392"/>
        <v>89.4</v>
      </c>
      <c r="R271" s="574">
        <f t="shared" si="410"/>
        <v>103</v>
      </c>
      <c r="S271" s="547">
        <f t="shared" si="411"/>
        <v>138</v>
      </c>
      <c r="T271" s="541">
        <f t="shared" si="412"/>
        <v>34</v>
      </c>
      <c r="U271" s="547">
        <v>188</v>
      </c>
      <c r="V271" s="547">
        <v>299</v>
      </c>
      <c r="W271" s="541">
        <f t="shared" si="396"/>
        <v>59</v>
      </c>
      <c r="X271" s="574">
        <f t="shared" si="402"/>
        <v>139</v>
      </c>
      <c r="Y271" s="547">
        <f t="shared" si="403"/>
        <v>164</v>
      </c>
      <c r="Z271" s="541">
        <f t="shared" si="404"/>
        <v>18</v>
      </c>
      <c r="AA271" s="642">
        <v>327</v>
      </c>
      <c r="AB271" s="642">
        <v>463</v>
      </c>
      <c r="AC271" s="541">
        <f t="shared" si="399"/>
        <v>41.6</v>
      </c>
      <c r="AD271" s="574">
        <f t="shared" si="405"/>
        <v>101</v>
      </c>
      <c r="AE271" s="574">
        <f t="shared" si="405"/>
        <v>150</v>
      </c>
      <c r="AF271" s="541">
        <f t="shared" si="406"/>
        <v>48.5</v>
      </c>
      <c r="AG271" s="547">
        <v>428</v>
      </c>
      <c r="AH271" s="547">
        <v>613</v>
      </c>
      <c r="AI271" s="255">
        <f t="shared" si="413"/>
        <v>43.2</v>
      </c>
    </row>
    <row r="272" spans="1:35">
      <c r="A272" s="92"/>
      <c r="B272" s="3"/>
      <c r="C272" s="101" t="s">
        <v>94</v>
      </c>
      <c r="D272" s="94">
        <v>5834</v>
      </c>
      <c r="E272" s="94">
        <v>5370</v>
      </c>
      <c r="F272" s="102">
        <v>3002</v>
      </c>
      <c r="G272" s="94">
        <v>1963</v>
      </c>
      <c r="H272" s="94">
        <v>944</v>
      </c>
      <c r="I272" s="642">
        <v>54</v>
      </c>
      <c r="J272" s="642">
        <v>29</v>
      </c>
      <c r="K272" s="544">
        <f t="shared" si="389"/>
        <v>-46.3</v>
      </c>
      <c r="L272" s="574">
        <f t="shared" si="407"/>
        <v>89</v>
      </c>
      <c r="M272" s="547">
        <f t="shared" si="408"/>
        <v>34</v>
      </c>
      <c r="N272" s="541">
        <f t="shared" si="409"/>
        <v>-61.8</v>
      </c>
      <c r="O272" s="547">
        <v>143</v>
      </c>
      <c r="P272" s="547">
        <v>63</v>
      </c>
      <c r="Q272" s="541">
        <f t="shared" si="392"/>
        <v>-55.9</v>
      </c>
      <c r="R272" s="574">
        <f t="shared" si="410"/>
        <v>78</v>
      </c>
      <c r="S272" s="547">
        <f t="shared" si="411"/>
        <v>45</v>
      </c>
      <c r="T272" s="541">
        <f t="shared" si="412"/>
        <v>-42.3</v>
      </c>
      <c r="U272" s="547">
        <v>221</v>
      </c>
      <c r="V272" s="547">
        <v>108</v>
      </c>
      <c r="W272" s="541">
        <f t="shared" si="396"/>
        <v>-51.1</v>
      </c>
      <c r="X272" s="574">
        <f t="shared" si="402"/>
        <v>86</v>
      </c>
      <c r="Y272" s="547">
        <f t="shared" si="403"/>
        <v>150</v>
      </c>
      <c r="Z272" s="541">
        <f t="shared" si="404"/>
        <v>74.400000000000006</v>
      </c>
      <c r="AA272" s="642">
        <v>307</v>
      </c>
      <c r="AB272" s="642">
        <v>258</v>
      </c>
      <c r="AC272" s="541">
        <f t="shared" si="399"/>
        <v>-16</v>
      </c>
      <c r="AD272" s="574">
        <f t="shared" si="405"/>
        <v>91</v>
      </c>
      <c r="AE272" s="574">
        <f t="shared" si="405"/>
        <v>52</v>
      </c>
      <c r="AF272" s="541">
        <f t="shared" si="406"/>
        <v>-42.9</v>
      </c>
      <c r="AG272" s="547">
        <v>398</v>
      </c>
      <c r="AH272" s="547">
        <v>310</v>
      </c>
      <c r="AI272" s="255">
        <f t="shared" si="413"/>
        <v>-22.1</v>
      </c>
    </row>
    <row r="273" spans="1:35" s="167" customFormat="1">
      <c r="A273" s="322"/>
      <c r="B273" s="309"/>
      <c r="C273" s="101" t="s">
        <v>91</v>
      </c>
      <c r="D273" s="94">
        <v>1362</v>
      </c>
      <c r="E273" s="94">
        <v>969</v>
      </c>
      <c r="F273" s="102">
        <v>582</v>
      </c>
      <c r="G273" s="94">
        <v>642</v>
      </c>
      <c r="H273" s="94">
        <v>822</v>
      </c>
      <c r="I273" s="642">
        <v>81</v>
      </c>
      <c r="J273" s="642">
        <v>64</v>
      </c>
      <c r="K273" s="544">
        <f t="shared" si="389"/>
        <v>-21</v>
      </c>
      <c r="L273" s="574">
        <f t="shared" si="407"/>
        <v>47</v>
      </c>
      <c r="M273" s="547">
        <f t="shared" si="408"/>
        <v>74</v>
      </c>
      <c r="N273" s="541">
        <f t="shared" si="409"/>
        <v>57.4</v>
      </c>
      <c r="O273" s="547">
        <v>128</v>
      </c>
      <c r="P273" s="547">
        <v>138</v>
      </c>
      <c r="Q273" s="541">
        <f t="shared" si="392"/>
        <v>7.8</v>
      </c>
      <c r="R273" s="574">
        <f t="shared" si="410"/>
        <v>110</v>
      </c>
      <c r="S273" s="547">
        <f t="shared" si="411"/>
        <v>97</v>
      </c>
      <c r="T273" s="541">
        <f t="shared" si="412"/>
        <v>-11.8</v>
      </c>
      <c r="U273" s="547">
        <v>238</v>
      </c>
      <c r="V273" s="547">
        <v>235</v>
      </c>
      <c r="W273" s="541">
        <f t="shared" si="396"/>
        <v>-1.3</v>
      </c>
      <c r="X273" s="574">
        <f t="shared" si="402"/>
        <v>69</v>
      </c>
      <c r="Y273" s="547">
        <f t="shared" si="403"/>
        <v>67</v>
      </c>
      <c r="Z273" s="541">
        <f t="shared" si="404"/>
        <v>-2.9</v>
      </c>
      <c r="AA273" s="642">
        <v>307</v>
      </c>
      <c r="AB273" s="642">
        <v>302</v>
      </c>
      <c r="AC273" s="541">
        <f t="shared" si="399"/>
        <v>-1.6</v>
      </c>
      <c r="AD273" s="574">
        <f t="shared" si="405"/>
        <v>89</v>
      </c>
      <c r="AE273" s="574">
        <f t="shared" si="405"/>
        <v>71</v>
      </c>
      <c r="AF273" s="541">
        <f t="shared" si="406"/>
        <v>-20.2</v>
      </c>
      <c r="AG273" s="547">
        <v>396</v>
      </c>
      <c r="AH273" s="547">
        <v>373</v>
      </c>
      <c r="AI273" s="541">
        <f t="shared" si="413"/>
        <v>-5.8</v>
      </c>
    </row>
    <row r="274" spans="1:35">
      <c r="A274" s="92"/>
      <c r="B274" s="3"/>
      <c r="C274" s="101" t="s">
        <v>104</v>
      </c>
      <c r="D274" s="94">
        <v>686</v>
      </c>
      <c r="E274" s="94">
        <v>336</v>
      </c>
      <c r="F274" s="102">
        <v>617</v>
      </c>
      <c r="G274" s="94">
        <v>487</v>
      </c>
      <c r="H274" s="94">
        <v>506</v>
      </c>
      <c r="I274" s="642">
        <v>27</v>
      </c>
      <c r="J274" s="642">
        <v>17</v>
      </c>
      <c r="K274" s="544">
        <f t="shared" si="389"/>
        <v>-37</v>
      </c>
      <c r="L274" s="574">
        <f t="shared" si="407"/>
        <v>40</v>
      </c>
      <c r="M274" s="547">
        <f t="shared" si="408"/>
        <v>31</v>
      </c>
      <c r="N274" s="541">
        <f t="shared" si="409"/>
        <v>-22.5</v>
      </c>
      <c r="O274" s="547">
        <v>67</v>
      </c>
      <c r="P274" s="547">
        <v>48</v>
      </c>
      <c r="Q274" s="541">
        <f t="shared" si="392"/>
        <v>-28.4</v>
      </c>
      <c r="R274" s="574">
        <f t="shared" si="410"/>
        <v>50</v>
      </c>
      <c r="S274" s="547">
        <f t="shared" si="411"/>
        <v>42</v>
      </c>
      <c r="T274" s="541">
        <f t="shared" si="412"/>
        <v>-16</v>
      </c>
      <c r="U274" s="547">
        <v>117</v>
      </c>
      <c r="V274" s="547">
        <v>90</v>
      </c>
      <c r="W274" s="541">
        <f t="shared" si="396"/>
        <v>-23.1</v>
      </c>
      <c r="X274" s="574">
        <f t="shared" si="402"/>
        <v>62</v>
      </c>
      <c r="Y274" s="547">
        <f t="shared" si="403"/>
        <v>52</v>
      </c>
      <c r="Z274" s="541">
        <f t="shared" si="404"/>
        <v>-16.100000000000001</v>
      </c>
      <c r="AA274" s="642">
        <v>179</v>
      </c>
      <c r="AB274" s="642">
        <v>142</v>
      </c>
      <c r="AC274" s="541">
        <f t="shared" si="399"/>
        <v>-20.7</v>
      </c>
      <c r="AD274" s="574">
        <f t="shared" si="405"/>
        <v>34</v>
      </c>
      <c r="AE274" s="574">
        <f t="shared" si="405"/>
        <v>33</v>
      </c>
      <c r="AF274" s="541">
        <f t="shared" si="406"/>
        <v>-2.9</v>
      </c>
      <c r="AG274" s="547">
        <v>213</v>
      </c>
      <c r="AH274" s="547">
        <v>175</v>
      </c>
      <c r="AI274" s="255">
        <f t="shared" si="413"/>
        <v>-17.8</v>
      </c>
    </row>
    <row r="275" spans="1:35">
      <c r="A275" s="92"/>
      <c r="B275" s="3"/>
      <c r="C275" s="101" t="s">
        <v>118</v>
      </c>
      <c r="D275" s="94">
        <v>1242</v>
      </c>
      <c r="E275" s="94">
        <v>1246</v>
      </c>
      <c r="F275" s="102">
        <v>588</v>
      </c>
      <c r="G275" s="94">
        <v>443</v>
      </c>
      <c r="H275" s="94">
        <v>413</v>
      </c>
      <c r="I275" s="642">
        <v>0</v>
      </c>
      <c r="J275" s="642">
        <v>6</v>
      </c>
      <c r="K275" s="570">
        <v>0</v>
      </c>
      <c r="L275" s="574">
        <f t="shared" si="407"/>
        <v>0</v>
      </c>
      <c r="M275" s="547">
        <f t="shared" si="408"/>
        <v>2</v>
      </c>
      <c r="N275" s="570">
        <v>0</v>
      </c>
      <c r="O275" s="547">
        <v>0</v>
      </c>
      <c r="P275" s="547">
        <v>8</v>
      </c>
      <c r="Q275" s="570">
        <v>0</v>
      </c>
      <c r="R275" s="574">
        <f t="shared" si="410"/>
        <v>32</v>
      </c>
      <c r="S275" s="547">
        <f t="shared" si="411"/>
        <v>58</v>
      </c>
      <c r="T275" s="541">
        <f t="shared" si="412"/>
        <v>81.3</v>
      </c>
      <c r="U275" s="547">
        <v>32</v>
      </c>
      <c r="V275" s="547">
        <v>66</v>
      </c>
      <c r="W275" s="541">
        <f t="shared" si="396"/>
        <v>106.3</v>
      </c>
      <c r="X275" s="574">
        <f t="shared" si="402"/>
        <v>53</v>
      </c>
      <c r="Y275" s="547">
        <f t="shared" si="403"/>
        <v>34</v>
      </c>
      <c r="Z275" s="541">
        <f t="shared" si="404"/>
        <v>-35.799999999999997</v>
      </c>
      <c r="AA275" s="642">
        <v>85</v>
      </c>
      <c r="AB275" s="642">
        <v>100</v>
      </c>
      <c r="AC275" s="541">
        <f t="shared" si="399"/>
        <v>17.600000000000001</v>
      </c>
      <c r="AD275" s="574">
        <f t="shared" si="405"/>
        <v>0</v>
      </c>
      <c r="AE275" s="574">
        <f t="shared" si="405"/>
        <v>78</v>
      </c>
      <c r="AF275" s="570">
        <v>0</v>
      </c>
      <c r="AG275" s="547">
        <v>85</v>
      </c>
      <c r="AH275" s="547">
        <v>178</v>
      </c>
      <c r="AI275" s="255">
        <f t="shared" si="413"/>
        <v>109.4</v>
      </c>
    </row>
    <row r="276" spans="1:35" s="277" customFormat="1">
      <c r="A276" s="397"/>
      <c r="B276" s="396"/>
      <c r="C276" s="101" t="s">
        <v>125</v>
      </c>
      <c r="D276" s="94">
        <v>725</v>
      </c>
      <c r="E276" s="94">
        <v>394</v>
      </c>
      <c r="F276" s="102">
        <v>330</v>
      </c>
      <c r="G276" s="94">
        <v>260</v>
      </c>
      <c r="H276" s="94">
        <v>215</v>
      </c>
      <c r="I276" s="642">
        <v>19</v>
      </c>
      <c r="J276" s="642">
        <v>8</v>
      </c>
      <c r="K276" s="544">
        <f t="shared" si="389"/>
        <v>-57.9</v>
      </c>
      <c r="L276" s="574">
        <f t="shared" si="407"/>
        <v>10</v>
      </c>
      <c r="M276" s="547">
        <f t="shared" si="408"/>
        <v>5</v>
      </c>
      <c r="N276" s="541">
        <f t="shared" si="409"/>
        <v>-50</v>
      </c>
      <c r="O276" s="547">
        <v>29</v>
      </c>
      <c r="P276" s="547">
        <v>13</v>
      </c>
      <c r="Q276" s="541">
        <f t="shared" si="392"/>
        <v>-55.2</v>
      </c>
      <c r="R276" s="574">
        <f t="shared" si="410"/>
        <v>7</v>
      </c>
      <c r="S276" s="547">
        <f t="shared" si="411"/>
        <v>1</v>
      </c>
      <c r="T276" s="541">
        <f t="shared" si="412"/>
        <v>-85.7</v>
      </c>
      <c r="U276" s="547">
        <v>36</v>
      </c>
      <c r="V276" s="547">
        <v>14</v>
      </c>
      <c r="W276" s="541">
        <f t="shared" si="396"/>
        <v>-61.1</v>
      </c>
      <c r="X276" s="574">
        <f t="shared" si="402"/>
        <v>28</v>
      </c>
      <c r="Y276" s="547">
        <f t="shared" si="403"/>
        <v>10</v>
      </c>
      <c r="Z276" s="541">
        <f t="shared" si="404"/>
        <v>-64.3</v>
      </c>
      <c r="AA276" s="642">
        <v>64</v>
      </c>
      <c r="AB276" s="642">
        <v>24</v>
      </c>
      <c r="AC276" s="541">
        <f t="shared" si="399"/>
        <v>-62.5</v>
      </c>
      <c r="AD276" s="574">
        <f t="shared" si="405"/>
        <v>16</v>
      </c>
      <c r="AE276" s="574">
        <f t="shared" si="405"/>
        <v>6</v>
      </c>
      <c r="AF276" s="541">
        <f t="shared" si="406"/>
        <v>-62.5</v>
      </c>
      <c r="AG276" s="547">
        <v>80</v>
      </c>
      <c r="AH276" s="547">
        <v>30</v>
      </c>
      <c r="AI276" s="255">
        <f t="shared" si="413"/>
        <v>-62.5</v>
      </c>
    </row>
    <row r="277" spans="1:35">
      <c r="A277" s="92"/>
      <c r="B277" s="3"/>
      <c r="C277" s="101" t="s">
        <v>95</v>
      </c>
      <c r="D277" s="94">
        <v>782</v>
      </c>
      <c r="E277" s="94">
        <v>803</v>
      </c>
      <c r="F277" s="102">
        <v>403</v>
      </c>
      <c r="G277" s="94">
        <v>72</v>
      </c>
      <c r="H277" s="94">
        <v>100</v>
      </c>
      <c r="I277" s="642">
        <v>0</v>
      </c>
      <c r="J277" s="642">
        <v>18</v>
      </c>
      <c r="K277" s="570">
        <v>0</v>
      </c>
      <c r="L277" s="574">
        <f t="shared" si="407"/>
        <v>11</v>
      </c>
      <c r="M277" s="547">
        <f t="shared" si="408"/>
        <v>14</v>
      </c>
      <c r="N277" s="541">
        <f t="shared" si="409"/>
        <v>27.3</v>
      </c>
      <c r="O277" s="547">
        <v>11</v>
      </c>
      <c r="P277" s="547">
        <v>32</v>
      </c>
      <c r="Q277" s="541">
        <f t="shared" si="392"/>
        <v>190.9</v>
      </c>
      <c r="R277" s="574">
        <f t="shared" si="410"/>
        <v>0</v>
      </c>
      <c r="S277" s="547">
        <f t="shared" si="411"/>
        <v>0</v>
      </c>
      <c r="T277" s="570">
        <v>0</v>
      </c>
      <c r="U277" s="547">
        <v>11</v>
      </c>
      <c r="V277" s="547">
        <v>32</v>
      </c>
      <c r="W277" s="541">
        <f t="shared" si="396"/>
        <v>190.9</v>
      </c>
      <c r="X277" s="574">
        <f t="shared" si="402"/>
        <v>15</v>
      </c>
      <c r="Y277" s="547">
        <f t="shared" si="403"/>
        <v>0</v>
      </c>
      <c r="Z277" s="541">
        <f t="shared" si="404"/>
        <v>-100</v>
      </c>
      <c r="AA277" s="642">
        <v>26</v>
      </c>
      <c r="AB277" s="642">
        <v>32</v>
      </c>
      <c r="AC277" s="541">
        <f t="shared" si="399"/>
        <v>23.1</v>
      </c>
      <c r="AD277" s="574">
        <f t="shared" si="405"/>
        <v>0</v>
      </c>
      <c r="AE277" s="574">
        <f t="shared" si="405"/>
        <v>0</v>
      </c>
      <c r="AF277" s="570">
        <v>0</v>
      </c>
      <c r="AG277" s="547">
        <v>26</v>
      </c>
      <c r="AH277" s="547">
        <v>32</v>
      </c>
      <c r="AI277" s="255">
        <f t="shared" si="413"/>
        <v>23.1</v>
      </c>
    </row>
    <row r="278" spans="1:35">
      <c r="A278" s="92"/>
      <c r="B278" s="3"/>
      <c r="C278" s="101" t="s">
        <v>99</v>
      </c>
      <c r="D278" s="94">
        <v>1028</v>
      </c>
      <c r="E278" s="94">
        <v>855</v>
      </c>
      <c r="F278" s="102">
        <v>586</v>
      </c>
      <c r="G278" s="94">
        <v>490</v>
      </c>
      <c r="H278" s="94">
        <v>76</v>
      </c>
      <c r="I278" s="642">
        <v>15</v>
      </c>
      <c r="J278" s="642">
        <v>0</v>
      </c>
      <c r="K278" s="544">
        <f t="shared" si="389"/>
        <v>-100</v>
      </c>
      <c r="L278" s="574">
        <f t="shared" si="407"/>
        <v>0</v>
      </c>
      <c r="M278" s="547">
        <f t="shared" si="408"/>
        <v>2</v>
      </c>
      <c r="N278" s="570">
        <v>0</v>
      </c>
      <c r="O278" s="547">
        <v>15</v>
      </c>
      <c r="P278" s="547">
        <v>2</v>
      </c>
      <c r="Q278" s="541">
        <f t="shared" si="392"/>
        <v>-86.7</v>
      </c>
      <c r="R278" s="574">
        <f t="shared" si="410"/>
        <v>29</v>
      </c>
      <c r="S278" s="547">
        <f t="shared" si="411"/>
        <v>0</v>
      </c>
      <c r="T278" s="541">
        <f t="shared" si="412"/>
        <v>-100</v>
      </c>
      <c r="U278" s="547">
        <v>44</v>
      </c>
      <c r="V278" s="547">
        <v>2</v>
      </c>
      <c r="W278" s="541">
        <f t="shared" si="396"/>
        <v>-95.5</v>
      </c>
      <c r="X278" s="574">
        <f t="shared" si="402"/>
        <v>27</v>
      </c>
      <c r="Y278" s="547">
        <f t="shared" si="403"/>
        <v>14</v>
      </c>
      <c r="Z278" s="541">
        <f t="shared" si="404"/>
        <v>-48.1</v>
      </c>
      <c r="AA278" s="642">
        <v>71</v>
      </c>
      <c r="AB278" s="642">
        <v>16</v>
      </c>
      <c r="AC278" s="541">
        <f t="shared" si="399"/>
        <v>-77.5</v>
      </c>
      <c r="AD278" s="574">
        <f t="shared" si="405"/>
        <v>0</v>
      </c>
      <c r="AE278" s="574">
        <f t="shared" si="405"/>
        <v>1</v>
      </c>
      <c r="AF278" s="570">
        <v>0</v>
      </c>
      <c r="AG278" s="547">
        <v>71</v>
      </c>
      <c r="AH278" s="547">
        <v>17</v>
      </c>
      <c r="AI278" s="255">
        <f t="shared" si="413"/>
        <v>-76.099999999999994</v>
      </c>
    </row>
    <row r="279" spans="1:35" s="605" customFormat="1">
      <c r="A279" s="676"/>
      <c r="B279" s="675"/>
      <c r="C279" s="101" t="s">
        <v>542</v>
      </c>
      <c r="D279" s="94">
        <v>204</v>
      </c>
      <c r="E279" s="94">
        <v>163</v>
      </c>
      <c r="F279" s="102">
        <v>106</v>
      </c>
      <c r="G279" s="94">
        <v>34</v>
      </c>
      <c r="H279" s="94">
        <v>73</v>
      </c>
      <c r="I279" s="642">
        <v>10</v>
      </c>
      <c r="J279" s="642">
        <v>2</v>
      </c>
      <c r="K279" s="544">
        <f t="shared" si="389"/>
        <v>-80</v>
      </c>
      <c r="L279" s="574">
        <f t="shared" si="407"/>
        <v>2</v>
      </c>
      <c r="M279" s="547">
        <f t="shared" si="408"/>
        <v>0</v>
      </c>
      <c r="N279" s="541">
        <f t="shared" si="409"/>
        <v>-100</v>
      </c>
      <c r="O279" s="547">
        <v>12</v>
      </c>
      <c r="P279" s="547">
        <v>2</v>
      </c>
      <c r="Q279" s="541">
        <f t="shared" si="392"/>
        <v>-83.3</v>
      </c>
      <c r="R279" s="574">
        <f t="shared" si="410"/>
        <v>15</v>
      </c>
      <c r="S279" s="547">
        <f t="shared" si="411"/>
        <v>2</v>
      </c>
      <c r="T279" s="541">
        <f t="shared" si="412"/>
        <v>-86.7</v>
      </c>
      <c r="U279" s="547">
        <v>27</v>
      </c>
      <c r="V279" s="547">
        <v>4</v>
      </c>
      <c r="W279" s="541">
        <f t="shared" si="396"/>
        <v>-85.2</v>
      </c>
      <c r="X279" s="574"/>
      <c r="Y279" s="547">
        <f t="shared" ref="Y279:Y280" si="414">AB279-V279</f>
        <v>0</v>
      </c>
      <c r="Z279" s="570">
        <v>0</v>
      </c>
      <c r="AA279" s="642">
        <v>40</v>
      </c>
      <c r="AB279" s="642">
        <v>4</v>
      </c>
      <c r="AC279" s="541">
        <f t="shared" si="399"/>
        <v>-90</v>
      </c>
      <c r="AD279" s="574">
        <f t="shared" si="405"/>
        <v>14</v>
      </c>
      <c r="AE279" s="574">
        <f t="shared" si="405"/>
        <v>0</v>
      </c>
      <c r="AF279" s="541">
        <f t="shared" si="406"/>
        <v>-100</v>
      </c>
      <c r="AG279" s="547">
        <v>54</v>
      </c>
      <c r="AH279" s="547">
        <v>4</v>
      </c>
      <c r="AI279" s="541">
        <f t="shared" si="413"/>
        <v>-92.6</v>
      </c>
    </row>
    <row r="280" spans="1:35">
      <c r="A280" s="92"/>
      <c r="B280" s="3"/>
      <c r="C280" s="101" t="s">
        <v>436</v>
      </c>
      <c r="D280" s="94">
        <v>0</v>
      </c>
      <c r="E280" s="94">
        <v>0</v>
      </c>
      <c r="F280" s="102">
        <v>0</v>
      </c>
      <c r="G280" s="94">
        <v>464</v>
      </c>
      <c r="H280" s="94">
        <v>9</v>
      </c>
      <c r="I280" s="642">
        <v>0</v>
      </c>
      <c r="J280" s="642">
        <v>0</v>
      </c>
      <c r="K280" s="173">
        <v>0</v>
      </c>
      <c r="L280" s="386">
        <f>O280-I280</f>
        <v>0</v>
      </c>
      <c r="M280" s="547">
        <f>P280-J280</f>
        <v>0</v>
      </c>
      <c r="N280" s="173">
        <v>0</v>
      </c>
      <c r="O280" s="547">
        <v>0</v>
      </c>
      <c r="P280" s="547">
        <v>0</v>
      </c>
      <c r="Q280" s="570">
        <v>0</v>
      </c>
      <c r="R280" s="574">
        <f t="shared" si="410"/>
        <v>4</v>
      </c>
      <c r="S280" s="547">
        <f t="shared" si="411"/>
        <v>0</v>
      </c>
      <c r="T280" s="541">
        <f t="shared" si="412"/>
        <v>-100</v>
      </c>
      <c r="U280" s="547">
        <v>4</v>
      </c>
      <c r="V280" s="547">
        <v>0</v>
      </c>
      <c r="W280" s="541">
        <f t="shared" si="396"/>
        <v>-100</v>
      </c>
      <c r="X280" s="386">
        <f>AA280-U280</f>
        <v>5</v>
      </c>
      <c r="Y280" s="547">
        <f t="shared" si="414"/>
        <v>0</v>
      </c>
      <c r="Z280" s="541">
        <f t="shared" si="404"/>
        <v>-100</v>
      </c>
      <c r="AA280" s="642">
        <v>9</v>
      </c>
      <c r="AB280" s="642">
        <v>0</v>
      </c>
      <c r="AC280" s="541">
        <f t="shared" si="399"/>
        <v>-100</v>
      </c>
      <c r="AD280" s="574">
        <f t="shared" si="405"/>
        <v>0</v>
      </c>
      <c r="AE280" s="574">
        <f t="shared" si="405"/>
        <v>0</v>
      </c>
      <c r="AF280" s="570">
        <v>0</v>
      </c>
      <c r="AG280" s="547">
        <v>9</v>
      </c>
      <c r="AH280" s="547">
        <v>0</v>
      </c>
      <c r="AI280" s="255">
        <f>ROUND(((AH280/AG280-1)*100), 1)</f>
        <v>-100</v>
      </c>
    </row>
    <row r="281" spans="1:35">
      <c r="A281" s="92"/>
      <c r="B281" s="3"/>
      <c r="C281" s="101" t="s">
        <v>75</v>
      </c>
      <c r="D281" s="94">
        <f t="shared" ref="D281:J281" si="415">D282-SUM(D259:D280)</f>
        <v>6163</v>
      </c>
      <c r="E281" s="94">
        <f t="shared" si="415"/>
        <v>4239</v>
      </c>
      <c r="F281" s="102">
        <f t="shared" si="415"/>
        <v>975</v>
      </c>
      <c r="G281" s="94">
        <f t="shared" si="415"/>
        <v>588</v>
      </c>
      <c r="H281" s="94">
        <f t="shared" si="415"/>
        <v>285</v>
      </c>
      <c r="I281" s="642">
        <f t="shared" si="415"/>
        <v>21</v>
      </c>
      <c r="J281" s="642">
        <f t="shared" si="415"/>
        <v>19</v>
      </c>
      <c r="K281" s="255">
        <f t="shared" ref="K281:K282" si="416">ROUND(((J281/I281-1)*100), 1)</f>
        <v>-9.5</v>
      </c>
      <c r="L281" s="386">
        <f>L282-SUM(L259:L280)</f>
        <v>9</v>
      </c>
      <c r="M281" s="547">
        <f>M282-SUM(M259:M280)</f>
        <v>25</v>
      </c>
      <c r="N281" s="255">
        <f t="shared" ref="N281:N282" si="417">ROUND(((M281/L281-1)*100), 1)</f>
        <v>177.8</v>
      </c>
      <c r="O281" s="547">
        <f>O282-SUM(O259:O280)</f>
        <v>30</v>
      </c>
      <c r="P281" s="547">
        <f>P282-SUM(P259:P280)</f>
        <v>44</v>
      </c>
      <c r="Q281" s="255">
        <f t="shared" ref="Q281:Q282" si="418">ROUND(((P281/O281-1)*100), 1)</f>
        <v>46.7</v>
      </c>
      <c r="R281" s="574">
        <f>R282-SUM(R259:R280)</f>
        <v>39</v>
      </c>
      <c r="S281" s="547">
        <f>S282-SUM(S259:S280)</f>
        <v>41</v>
      </c>
      <c r="T281" s="255">
        <f t="shared" ref="T281:T282" si="419">ROUND(((S281/R281-1)*100), 1)</f>
        <v>5.0999999999999996</v>
      </c>
      <c r="U281" s="547">
        <f>U282-SUM(U259:U280)</f>
        <v>69</v>
      </c>
      <c r="V281" s="547">
        <f>V282-SUM(V259:V280)</f>
        <v>85</v>
      </c>
      <c r="W281" s="255">
        <f t="shared" ref="W281:W282" si="420">ROUND(((V281/U281-1)*100), 1)</f>
        <v>23.2</v>
      </c>
      <c r="X281" s="386">
        <f>X282-SUM(X259:X280)</f>
        <v>56</v>
      </c>
      <c r="Y281" s="547">
        <f>Y282-SUM(Y259:Y280)</f>
        <v>41</v>
      </c>
      <c r="Z281" s="255">
        <f t="shared" ref="Z281:Z282" si="421">ROUND(((Y281/X281-1)*100), 1)</f>
        <v>-26.8</v>
      </c>
      <c r="AA281" s="642">
        <f>AA282-SUM(AA259:AA280)</f>
        <v>112</v>
      </c>
      <c r="AB281" s="642">
        <f>AB282-SUM(AB259:AB280)</f>
        <v>126</v>
      </c>
      <c r="AC281" s="255">
        <f t="shared" ref="AC281:AC282" si="422">ROUND(((AB281/AA281-1)*100), 1)</f>
        <v>12.5</v>
      </c>
      <c r="AD281" s="386">
        <f>AD282-SUM(AD259:AD280)</f>
        <v>29</v>
      </c>
      <c r="AE281" s="574">
        <f>AE282-SUM(AE259:AE280)</f>
        <v>81</v>
      </c>
      <c r="AF281" s="255">
        <f t="shared" ref="AF281:AF282" si="423">ROUND(((AE281/AD281-1)*100), 1)</f>
        <v>179.3</v>
      </c>
      <c r="AG281" s="547">
        <f>AG282-SUM(AG259:AG280)</f>
        <v>141</v>
      </c>
      <c r="AH281" s="547">
        <f>AH282-SUM(AH259:AH280)</f>
        <v>207</v>
      </c>
      <c r="AI281" s="255">
        <f t="shared" ref="AI281:AI282" si="424">ROUND(((AH281/AG281-1)*100), 1)</f>
        <v>46.8</v>
      </c>
    </row>
    <row r="282" spans="1:35">
      <c r="A282" s="92"/>
      <c r="B282" s="8"/>
      <c r="C282" s="41" t="s">
        <v>213</v>
      </c>
      <c r="D282" s="107">
        <v>44827</v>
      </c>
      <c r="E282" s="107">
        <v>50435</v>
      </c>
      <c r="F282" s="328">
        <v>59251</v>
      </c>
      <c r="G282" s="107">
        <v>58744</v>
      </c>
      <c r="H282" s="107">
        <v>69292</v>
      </c>
      <c r="I282" s="655">
        <v>4860</v>
      </c>
      <c r="J282" s="655">
        <v>5794</v>
      </c>
      <c r="K282" s="256">
        <f t="shared" si="416"/>
        <v>19.2</v>
      </c>
      <c r="L282" s="394">
        <f t="shared" ref="L282:M282" si="425">O282-I282</f>
        <v>4775</v>
      </c>
      <c r="M282" s="559">
        <f t="shared" si="425"/>
        <v>5979</v>
      </c>
      <c r="N282" s="256">
        <f t="shared" si="417"/>
        <v>25.2</v>
      </c>
      <c r="O282" s="559">
        <v>9635</v>
      </c>
      <c r="P282" s="559">
        <v>11773</v>
      </c>
      <c r="Q282" s="256">
        <f t="shared" si="418"/>
        <v>22.2</v>
      </c>
      <c r="R282" s="558">
        <f t="shared" ref="R282:R286" si="426">U282-O282</f>
        <v>5860</v>
      </c>
      <c r="S282" s="559">
        <f t="shared" ref="S282:S286" si="427">V282-P282</f>
        <v>6686</v>
      </c>
      <c r="T282" s="256">
        <f t="shared" si="419"/>
        <v>14.1</v>
      </c>
      <c r="U282" s="559">
        <v>15495</v>
      </c>
      <c r="V282" s="559">
        <v>18459</v>
      </c>
      <c r="W282" s="256">
        <f t="shared" si="420"/>
        <v>19.100000000000001</v>
      </c>
      <c r="X282" s="394">
        <f t="shared" ref="X282:Y297" si="428">AA282-U282</f>
        <v>5600</v>
      </c>
      <c r="Y282" s="559">
        <f t="shared" si="428"/>
        <v>6704</v>
      </c>
      <c r="Z282" s="256">
        <f t="shared" si="421"/>
        <v>19.7</v>
      </c>
      <c r="AA282" s="655">
        <v>21095</v>
      </c>
      <c r="AB282" s="655">
        <v>25163</v>
      </c>
      <c r="AC282" s="256">
        <f t="shared" si="422"/>
        <v>19.3</v>
      </c>
      <c r="AD282" s="394">
        <f t="shared" ref="AD282:AE282" si="429">AG282-AA282</f>
        <v>5530</v>
      </c>
      <c r="AE282" s="558">
        <f t="shared" si="429"/>
        <v>5987</v>
      </c>
      <c r="AF282" s="256">
        <f t="shared" si="423"/>
        <v>8.3000000000000007</v>
      </c>
      <c r="AG282" s="559">
        <v>26625</v>
      </c>
      <c r="AH282" s="559">
        <v>31150</v>
      </c>
      <c r="AI282" s="256">
        <f t="shared" si="424"/>
        <v>17</v>
      </c>
    </row>
    <row r="283" spans="1:35">
      <c r="A283" s="92"/>
      <c r="B283" s="3" t="s">
        <v>220</v>
      </c>
      <c r="C283" s="99" t="s">
        <v>95</v>
      </c>
      <c r="D283" s="94">
        <v>3909</v>
      </c>
      <c r="E283" s="94">
        <v>3941</v>
      </c>
      <c r="F283" s="102">
        <v>3700</v>
      </c>
      <c r="G283" s="94">
        <v>3637</v>
      </c>
      <c r="H283" s="94">
        <v>2795</v>
      </c>
      <c r="I283" s="642">
        <v>175</v>
      </c>
      <c r="J283" s="642">
        <v>199</v>
      </c>
      <c r="K283" s="255">
        <f t="shared" ref="K283:K297" si="430">ROUND(((J283/I283-1)*100), 1)</f>
        <v>13.7</v>
      </c>
      <c r="L283" s="386">
        <f t="shared" ref="L283:M292" si="431">O283-I283</f>
        <v>271</v>
      </c>
      <c r="M283" s="547">
        <f t="shared" si="431"/>
        <v>178</v>
      </c>
      <c r="N283" s="255">
        <f t="shared" ref="N283:N299" si="432">ROUND(((M283/L283-1)*100), 1)</f>
        <v>-34.299999999999997</v>
      </c>
      <c r="O283" s="547">
        <v>446</v>
      </c>
      <c r="P283" s="547">
        <v>377</v>
      </c>
      <c r="Q283" s="255">
        <f t="shared" ref="Q283:Q299" si="433">ROUND(((P283/O283-1)*100), 1)</f>
        <v>-15.5</v>
      </c>
      <c r="R283" s="574">
        <f t="shared" si="426"/>
        <v>259</v>
      </c>
      <c r="S283" s="547">
        <f t="shared" si="427"/>
        <v>300</v>
      </c>
      <c r="T283" s="255">
        <f t="shared" ref="T283:T286" si="434">ROUND(((S283/R283-1)*100), 1)</f>
        <v>15.8</v>
      </c>
      <c r="U283" s="547">
        <v>705</v>
      </c>
      <c r="V283" s="547">
        <v>677</v>
      </c>
      <c r="W283" s="255">
        <f t="shared" ref="W283:W300" si="435">ROUND(((V283/U283-1)*100), 1)</f>
        <v>-4</v>
      </c>
      <c r="X283" s="386">
        <f t="shared" ref="X283:X300" si="436">AA283-U283</f>
        <v>296</v>
      </c>
      <c r="Y283" s="547">
        <f t="shared" si="428"/>
        <v>242</v>
      </c>
      <c r="Z283" s="255">
        <f t="shared" ref="Z283:Z299" si="437">ROUND(((Y283/X283-1)*100), 1)</f>
        <v>-18.2</v>
      </c>
      <c r="AA283" s="642">
        <v>1001</v>
      </c>
      <c r="AB283" s="642">
        <v>919</v>
      </c>
      <c r="AC283" s="255">
        <f t="shared" ref="AC283:AC298" si="438">ROUND(((AB283/AA283-1)*100), 1)</f>
        <v>-8.1999999999999993</v>
      </c>
      <c r="AD283" s="386">
        <f t="shared" ref="AD283:AE285" si="439">AG283-AA283</f>
        <v>247</v>
      </c>
      <c r="AE283" s="574">
        <f t="shared" si="439"/>
        <v>204</v>
      </c>
      <c r="AF283" s="255">
        <f t="shared" ref="AF283:AF285" si="440">ROUND(((AE283/AD283-1)*100), 1)</f>
        <v>-17.399999999999999</v>
      </c>
      <c r="AG283" s="547">
        <v>1248</v>
      </c>
      <c r="AH283" s="547">
        <v>1123</v>
      </c>
      <c r="AI283" s="255">
        <f t="shared" ref="AI283:AI300" si="441">ROUND(((AH283/AG283-1)*100), 1)</f>
        <v>-10</v>
      </c>
    </row>
    <row r="284" spans="1:35">
      <c r="A284" s="92"/>
      <c r="B284" s="3" t="s">
        <v>223</v>
      </c>
      <c r="C284" s="101" t="s">
        <v>45</v>
      </c>
      <c r="D284" s="94">
        <v>5044</v>
      </c>
      <c r="E284" s="94">
        <v>4673</v>
      </c>
      <c r="F284" s="102">
        <v>2547</v>
      </c>
      <c r="G284" s="94">
        <v>2407</v>
      </c>
      <c r="H284" s="94">
        <v>1600</v>
      </c>
      <c r="I284" s="642">
        <v>145</v>
      </c>
      <c r="J284" s="642">
        <v>2</v>
      </c>
      <c r="K284" s="255">
        <f t="shared" si="430"/>
        <v>-98.6</v>
      </c>
      <c r="L284" s="386">
        <f t="shared" si="431"/>
        <v>201</v>
      </c>
      <c r="M284" s="547">
        <f t="shared" si="431"/>
        <v>80</v>
      </c>
      <c r="N284" s="255">
        <f t="shared" si="432"/>
        <v>-60.2</v>
      </c>
      <c r="O284" s="547">
        <v>346</v>
      </c>
      <c r="P284" s="547">
        <v>82</v>
      </c>
      <c r="Q284" s="255">
        <f t="shared" si="433"/>
        <v>-76.3</v>
      </c>
      <c r="R284" s="574">
        <f t="shared" si="426"/>
        <v>162</v>
      </c>
      <c r="S284" s="547">
        <f t="shared" si="427"/>
        <v>38</v>
      </c>
      <c r="T284" s="255">
        <f t="shared" si="434"/>
        <v>-76.5</v>
      </c>
      <c r="U284" s="547">
        <v>508</v>
      </c>
      <c r="V284" s="547">
        <v>120</v>
      </c>
      <c r="W284" s="255">
        <f t="shared" si="435"/>
        <v>-76.400000000000006</v>
      </c>
      <c r="X284" s="386">
        <f t="shared" si="436"/>
        <v>204</v>
      </c>
      <c r="Y284" s="547">
        <f t="shared" si="428"/>
        <v>87</v>
      </c>
      <c r="Z284" s="255">
        <f t="shared" si="437"/>
        <v>-57.4</v>
      </c>
      <c r="AA284" s="642">
        <v>712</v>
      </c>
      <c r="AB284" s="642">
        <v>207</v>
      </c>
      <c r="AC284" s="255">
        <f t="shared" si="438"/>
        <v>-70.900000000000006</v>
      </c>
      <c r="AD284" s="386">
        <f t="shared" si="439"/>
        <v>146</v>
      </c>
      <c r="AE284" s="574">
        <f t="shared" si="439"/>
        <v>58</v>
      </c>
      <c r="AF284" s="255">
        <f t="shared" si="440"/>
        <v>-60.3</v>
      </c>
      <c r="AG284" s="547">
        <v>858</v>
      </c>
      <c r="AH284" s="547">
        <v>265</v>
      </c>
      <c r="AI284" s="255">
        <f t="shared" si="441"/>
        <v>-69.099999999999994</v>
      </c>
    </row>
    <row r="285" spans="1:35">
      <c r="A285" s="92"/>
      <c r="B285" s="3"/>
      <c r="C285" s="101" t="s">
        <v>105</v>
      </c>
      <c r="D285" s="94">
        <v>1058</v>
      </c>
      <c r="E285" s="94">
        <v>1419</v>
      </c>
      <c r="F285" s="102">
        <v>1837</v>
      </c>
      <c r="G285" s="94">
        <v>1157</v>
      </c>
      <c r="H285" s="94">
        <v>1388</v>
      </c>
      <c r="I285" s="642">
        <v>102</v>
      </c>
      <c r="J285" s="642">
        <v>149</v>
      </c>
      <c r="K285" s="255">
        <f t="shared" si="430"/>
        <v>46.1</v>
      </c>
      <c r="L285" s="386">
        <f t="shared" si="431"/>
        <v>91</v>
      </c>
      <c r="M285" s="547">
        <f t="shared" si="431"/>
        <v>135</v>
      </c>
      <c r="N285" s="255">
        <f t="shared" si="432"/>
        <v>48.4</v>
      </c>
      <c r="O285" s="547">
        <v>193</v>
      </c>
      <c r="P285" s="547">
        <v>284</v>
      </c>
      <c r="Q285" s="255">
        <f t="shared" si="433"/>
        <v>47.2</v>
      </c>
      <c r="R285" s="574">
        <f t="shared" si="426"/>
        <v>95</v>
      </c>
      <c r="S285" s="547">
        <f t="shared" si="427"/>
        <v>185</v>
      </c>
      <c r="T285" s="255">
        <f t="shared" si="434"/>
        <v>94.7</v>
      </c>
      <c r="U285" s="547">
        <v>288</v>
      </c>
      <c r="V285" s="547">
        <v>469</v>
      </c>
      <c r="W285" s="255">
        <f t="shared" si="435"/>
        <v>62.8</v>
      </c>
      <c r="X285" s="386">
        <f t="shared" si="436"/>
        <v>75</v>
      </c>
      <c r="Y285" s="547">
        <f t="shared" si="428"/>
        <v>183</v>
      </c>
      <c r="Z285" s="255">
        <f t="shared" si="437"/>
        <v>144</v>
      </c>
      <c r="AA285" s="642">
        <v>363</v>
      </c>
      <c r="AB285" s="642">
        <v>652</v>
      </c>
      <c r="AC285" s="255">
        <f t="shared" si="438"/>
        <v>79.599999999999994</v>
      </c>
      <c r="AD285" s="386">
        <f t="shared" si="439"/>
        <v>74</v>
      </c>
      <c r="AE285" s="574">
        <f t="shared" si="439"/>
        <v>182</v>
      </c>
      <c r="AF285" s="255">
        <f t="shared" si="440"/>
        <v>145.9</v>
      </c>
      <c r="AG285" s="547">
        <v>437</v>
      </c>
      <c r="AH285" s="547">
        <v>834</v>
      </c>
      <c r="AI285" s="255">
        <f t="shared" si="441"/>
        <v>90.8</v>
      </c>
    </row>
    <row r="286" spans="1:35">
      <c r="A286" s="92"/>
      <c r="B286" s="3"/>
      <c r="C286" s="101" t="s">
        <v>91</v>
      </c>
      <c r="D286" s="94">
        <v>668</v>
      </c>
      <c r="E286" s="94">
        <v>1152</v>
      </c>
      <c r="F286" s="102">
        <v>1003</v>
      </c>
      <c r="G286" s="94">
        <v>818</v>
      </c>
      <c r="H286" s="94">
        <v>929</v>
      </c>
      <c r="I286" s="642">
        <v>45</v>
      </c>
      <c r="J286" s="642">
        <v>91</v>
      </c>
      <c r="K286" s="255">
        <f t="shared" si="430"/>
        <v>102.2</v>
      </c>
      <c r="L286" s="386">
        <f t="shared" si="431"/>
        <v>85</v>
      </c>
      <c r="M286" s="547">
        <f t="shared" si="431"/>
        <v>58</v>
      </c>
      <c r="N286" s="255">
        <f t="shared" si="432"/>
        <v>-31.8</v>
      </c>
      <c r="O286" s="547">
        <v>130</v>
      </c>
      <c r="P286" s="547">
        <v>149</v>
      </c>
      <c r="Q286" s="255">
        <f t="shared" si="433"/>
        <v>14.6</v>
      </c>
      <c r="R286" s="574">
        <f t="shared" si="426"/>
        <v>101</v>
      </c>
      <c r="S286" s="547">
        <f t="shared" si="427"/>
        <v>86</v>
      </c>
      <c r="T286" s="255">
        <f t="shared" si="434"/>
        <v>-14.9</v>
      </c>
      <c r="U286" s="547">
        <v>231</v>
      </c>
      <c r="V286" s="547">
        <v>235</v>
      </c>
      <c r="W286" s="541">
        <f t="shared" si="435"/>
        <v>1.7</v>
      </c>
      <c r="X286" s="574">
        <f t="shared" si="436"/>
        <v>107</v>
      </c>
      <c r="Y286" s="547">
        <f t="shared" si="428"/>
        <v>58</v>
      </c>
      <c r="Z286" s="541">
        <f t="shared" si="437"/>
        <v>-45.8</v>
      </c>
      <c r="AA286" s="642">
        <v>338</v>
      </c>
      <c r="AB286" s="642">
        <v>293</v>
      </c>
      <c r="AC286" s="541">
        <f t="shared" si="438"/>
        <v>-13.3</v>
      </c>
      <c r="AD286" s="574">
        <f t="shared" ref="AD286:AE300" si="442">AG286-AA286</f>
        <v>50</v>
      </c>
      <c r="AE286" s="574">
        <f t="shared" si="442"/>
        <v>86</v>
      </c>
      <c r="AF286" s="541">
        <f t="shared" ref="AF286:AF299" si="443">ROUND(((AE286/AD286-1)*100), 1)</f>
        <v>72</v>
      </c>
      <c r="AG286" s="547">
        <v>388</v>
      </c>
      <c r="AH286" s="547">
        <v>379</v>
      </c>
      <c r="AI286" s="255">
        <f t="shared" si="441"/>
        <v>-2.2999999999999998</v>
      </c>
    </row>
    <row r="287" spans="1:35">
      <c r="A287" s="92"/>
      <c r="B287" s="3"/>
      <c r="C287" s="101" t="s">
        <v>110</v>
      </c>
      <c r="D287" s="94">
        <v>511</v>
      </c>
      <c r="E287" s="94">
        <v>350</v>
      </c>
      <c r="F287" s="102">
        <v>395</v>
      </c>
      <c r="G287" s="94">
        <v>498</v>
      </c>
      <c r="H287" s="94">
        <v>504</v>
      </c>
      <c r="I287" s="642">
        <v>48</v>
      </c>
      <c r="J287" s="642">
        <v>0</v>
      </c>
      <c r="K287" s="255">
        <f t="shared" si="430"/>
        <v>-100</v>
      </c>
      <c r="L287" s="386">
        <f t="shared" si="431"/>
        <v>31</v>
      </c>
      <c r="M287" s="547">
        <f t="shared" si="431"/>
        <v>0</v>
      </c>
      <c r="N287" s="255">
        <f t="shared" si="432"/>
        <v>-100</v>
      </c>
      <c r="O287" s="547">
        <v>79</v>
      </c>
      <c r="P287" s="547">
        <v>0</v>
      </c>
      <c r="Q287" s="255">
        <f t="shared" si="433"/>
        <v>-100</v>
      </c>
      <c r="R287" s="574">
        <f t="shared" ref="R287:R300" si="444">U287-O287</f>
        <v>68</v>
      </c>
      <c r="S287" s="547">
        <f t="shared" ref="S287:S300" si="445">V287-P287</f>
        <v>0</v>
      </c>
      <c r="T287" s="541">
        <f t="shared" ref="T287:T300" si="446">ROUND(((S287/R287-1)*100), 1)</f>
        <v>-100</v>
      </c>
      <c r="U287" s="547">
        <v>147</v>
      </c>
      <c r="V287" s="547">
        <v>0</v>
      </c>
      <c r="W287" s="541">
        <f t="shared" si="435"/>
        <v>-100</v>
      </c>
      <c r="X287" s="574">
        <f t="shared" si="436"/>
        <v>14</v>
      </c>
      <c r="Y287" s="547">
        <f t="shared" si="428"/>
        <v>0</v>
      </c>
      <c r="Z287" s="541">
        <f t="shared" si="437"/>
        <v>-100</v>
      </c>
      <c r="AA287" s="642">
        <v>161</v>
      </c>
      <c r="AB287" s="642">
        <v>0</v>
      </c>
      <c r="AC287" s="541">
        <f t="shared" si="438"/>
        <v>-100</v>
      </c>
      <c r="AD287" s="574">
        <f t="shared" si="442"/>
        <v>0</v>
      </c>
      <c r="AE287" s="574">
        <f t="shared" si="442"/>
        <v>0</v>
      </c>
      <c r="AF287" s="570">
        <v>0</v>
      </c>
      <c r="AG287" s="547">
        <v>161</v>
      </c>
      <c r="AH287" s="547">
        <v>0</v>
      </c>
      <c r="AI287" s="541">
        <f t="shared" si="441"/>
        <v>-100</v>
      </c>
    </row>
    <row r="288" spans="1:35">
      <c r="A288" s="92"/>
      <c r="B288" s="3"/>
      <c r="C288" s="101" t="s">
        <v>89</v>
      </c>
      <c r="D288" s="94">
        <v>673</v>
      </c>
      <c r="E288" s="94">
        <v>555</v>
      </c>
      <c r="F288" s="102">
        <v>415</v>
      </c>
      <c r="G288" s="94">
        <v>328</v>
      </c>
      <c r="H288" s="94">
        <v>488</v>
      </c>
      <c r="I288" s="642">
        <v>29</v>
      </c>
      <c r="J288" s="642">
        <v>24</v>
      </c>
      <c r="K288" s="541">
        <f t="shared" si="430"/>
        <v>-17.2</v>
      </c>
      <c r="L288" s="386">
        <f t="shared" si="431"/>
        <v>10</v>
      </c>
      <c r="M288" s="547">
        <f t="shared" si="431"/>
        <v>35</v>
      </c>
      <c r="N288" s="255">
        <f t="shared" si="432"/>
        <v>250</v>
      </c>
      <c r="O288" s="547">
        <v>39</v>
      </c>
      <c r="P288" s="547">
        <v>59</v>
      </c>
      <c r="Q288" s="255">
        <f t="shared" si="433"/>
        <v>51.3</v>
      </c>
      <c r="R288" s="574">
        <f t="shared" si="444"/>
        <v>20</v>
      </c>
      <c r="S288" s="547">
        <f t="shared" si="445"/>
        <v>36</v>
      </c>
      <c r="T288" s="541">
        <f t="shared" si="446"/>
        <v>80</v>
      </c>
      <c r="U288" s="547">
        <v>59</v>
      </c>
      <c r="V288" s="547">
        <v>95</v>
      </c>
      <c r="W288" s="541">
        <f t="shared" si="435"/>
        <v>61</v>
      </c>
      <c r="X288" s="574">
        <f t="shared" si="436"/>
        <v>11</v>
      </c>
      <c r="Y288" s="547">
        <f t="shared" si="428"/>
        <v>24</v>
      </c>
      <c r="Z288" s="541">
        <f t="shared" si="437"/>
        <v>118.2</v>
      </c>
      <c r="AA288" s="642">
        <v>70</v>
      </c>
      <c r="AB288" s="642">
        <v>119</v>
      </c>
      <c r="AC288" s="541">
        <f t="shared" si="438"/>
        <v>70</v>
      </c>
      <c r="AD288" s="574">
        <f t="shared" si="442"/>
        <v>21</v>
      </c>
      <c r="AE288" s="574">
        <f t="shared" si="442"/>
        <v>41</v>
      </c>
      <c r="AF288" s="541">
        <f t="shared" si="443"/>
        <v>95.2</v>
      </c>
      <c r="AG288" s="547">
        <v>91</v>
      </c>
      <c r="AH288" s="547">
        <v>160</v>
      </c>
      <c r="AI288" s="541">
        <f t="shared" si="441"/>
        <v>75.8</v>
      </c>
    </row>
    <row r="289" spans="1:35">
      <c r="A289" s="92"/>
      <c r="B289" s="3"/>
      <c r="C289" s="101" t="s">
        <v>94</v>
      </c>
      <c r="D289" s="94">
        <v>1221</v>
      </c>
      <c r="E289" s="94">
        <v>603</v>
      </c>
      <c r="F289" s="102">
        <v>599</v>
      </c>
      <c r="G289" s="94">
        <v>561</v>
      </c>
      <c r="H289" s="94">
        <v>474</v>
      </c>
      <c r="I289" s="642">
        <v>39</v>
      </c>
      <c r="J289" s="642">
        <v>52</v>
      </c>
      <c r="K289" s="541">
        <f t="shared" si="430"/>
        <v>33.299999999999997</v>
      </c>
      <c r="L289" s="386">
        <f t="shared" si="431"/>
        <v>62</v>
      </c>
      <c r="M289" s="547">
        <f t="shared" si="431"/>
        <v>22</v>
      </c>
      <c r="N289" s="255">
        <f t="shared" si="432"/>
        <v>-64.5</v>
      </c>
      <c r="O289" s="547">
        <v>101</v>
      </c>
      <c r="P289" s="547">
        <v>74</v>
      </c>
      <c r="Q289" s="255">
        <f t="shared" si="433"/>
        <v>-26.7</v>
      </c>
      <c r="R289" s="574">
        <f t="shared" si="444"/>
        <v>49</v>
      </c>
      <c r="S289" s="547">
        <f t="shared" si="445"/>
        <v>78</v>
      </c>
      <c r="T289" s="541">
        <f t="shared" si="446"/>
        <v>59.2</v>
      </c>
      <c r="U289" s="547">
        <v>150</v>
      </c>
      <c r="V289" s="547">
        <v>152</v>
      </c>
      <c r="W289" s="541">
        <f t="shared" si="435"/>
        <v>1.3</v>
      </c>
      <c r="X289" s="574">
        <f t="shared" si="436"/>
        <v>37</v>
      </c>
      <c r="Y289" s="547">
        <f t="shared" si="428"/>
        <v>49</v>
      </c>
      <c r="Z289" s="541">
        <f t="shared" si="437"/>
        <v>32.4</v>
      </c>
      <c r="AA289" s="642">
        <v>187</v>
      </c>
      <c r="AB289" s="642">
        <v>201</v>
      </c>
      <c r="AC289" s="541">
        <f t="shared" si="438"/>
        <v>7.5</v>
      </c>
      <c r="AD289" s="574">
        <f t="shared" si="442"/>
        <v>17</v>
      </c>
      <c r="AE289" s="574">
        <f t="shared" si="442"/>
        <v>83</v>
      </c>
      <c r="AF289" s="541">
        <f t="shared" si="443"/>
        <v>388.2</v>
      </c>
      <c r="AG289" s="547">
        <v>204</v>
      </c>
      <c r="AH289" s="547">
        <v>284</v>
      </c>
      <c r="AI289" s="541">
        <f t="shared" si="441"/>
        <v>39.200000000000003</v>
      </c>
    </row>
    <row r="290" spans="1:35">
      <c r="A290" s="92"/>
      <c r="B290" s="3"/>
      <c r="C290" s="101" t="s">
        <v>106</v>
      </c>
      <c r="D290" s="94">
        <v>132</v>
      </c>
      <c r="E290" s="94">
        <v>141</v>
      </c>
      <c r="F290" s="102">
        <v>148</v>
      </c>
      <c r="G290" s="94">
        <v>224</v>
      </c>
      <c r="H290" s="94">
        <v>262</v>
      </c>
      <c r="I290" s="642">
        <v>53</v>
      </c>
      <c r="J290" s="642">
        <v>36</v>
      </c>
      <c r="K290" s="541">
        <f t="shared" si="430"/>
        <v>-32.1</v>
      </c>
      <c r="L290" s="386">
        <f t="shared" si="431"/>
        <v>36</v>
      </c>
      <c r="M290" s="547">
        <f t="shared" si="431"/>
        <v>52</v>
      </c>
      <c r="N290" s="255">
        <f t="shared" si="432"/>
        <v>44.4</v>
      </c>
      <c r="O290" s="547">
        <v>89</v>
      </c>
      <c r="P290" s="547">
        <v>88</v>
      </c>
      <c r="Q290" s="255">
        <f t="shared" si="433"/>
        <v>-1.1000000000000001</v>
      </c>
      <c r="R290" s="574">
        <f t="shared" si="444"/>
        <v>25</v>
      </c>
      <c r="S290" s="547">
        <f t="shared" si="445"/>
        <v>16</v>
      </c>
      <c r="T290" s="541">
        <f t="shared" si="446"/>
        <v>-36</v>
      </c>
      <c r="U290" s="547">
        <v>114</v>
      </c>
      <c r="V290" s="547">
        <v>104</v>
      </c>
      <c r="W290" s="541">
        <f t="shared" si="435"/>
        <v>-8.8000000000000007</v>
      </c>
      <c r="X290" s="574">
        <f t="shared" si="436"/>
        <v>34</v>
      </c>
      <c r="Y290" s="547">
        <f t="shared" si="428"/>
        <v>58</v>
      </c>
      <c r="Z290" s="541">
        <f t="shared" si="437"/>
        <v>70.599999999999994</v>
      </c>
      <c r="AA290" s="642">
        <v>148</v>
      </c>
      <c r="AB290" s="642">
        <v>162</v>
      </c>
      <c r="AC290" s="541">
        <f t="shared" si="438"/>
        <v>9.5</v>
      </c>
      <c r="AD290" s="574">
        <f t="shared" si="442"/>
        <v>10</v>
      </c>
      <c r="AE290" s="574">
        <f t="shared" si="442"/>
        <v>51</v>
      </c>
      <c r="AF290" s="541">
        <f t="shared" si="443"/>
        <v>410</v>
      </c>
      <c r="AG290" s="547">
        <v>158</v>
      </c>
      <c r="AH290" s="547">
        <v>213</v>
      </c>
      <c r="AI290" s="541">
        <f t="shared" si="441"/>
        <v>34.799999999999997</v>
      </c>
    </row>
    <row r="291" spans="1:35">
      <c r="A291" s="92"/>
      <c r="B291" s="3"/>
      <c r="C291" s="101" t="s">
        <v>104</v>
      </c>
      <c r="D291" s="94">
        <v>620</v>
      </c>
      <c r="E291" s="94">
        <v>525</v>
      </c>
      <c r="F291" s="102">
        <v>180</v>
      </c>
      <c r="G291" s="94">
        <v>220</v>
      </c>
      <c r="H291" s="94">
        <v>227</v>
      </c>
      <c r="I291" s="642">
        <v>0</v>
      </c>
      <c r="J291" s="642">
        <v>0</v>
      </c>
      <c r="K291" s="570">
        <v>0</v>
      </c>
      <c r="L291" s="386">
        <f t="shared" si="431"/>
        <v>0</v>
      </c>
      <c r="M291" s="547">
        <f t="shared" si="431"/>
        <v>0</v>
      </c>
      <c r="N291" s="570">
        <v>0</v>
      </c>
      <c r="O291" s="547">
        <v>0</v>
      </c>
      <c r="P291" s="547">
        <v>0</v>
      </c>
      <c r="Q291" s="570">
        <v>0</v>
      </c>
      <c r="R291" s="574">
        <f t="shared" si="444"/>
        <v>54</v>
      </c>
      <c r="S291" s="547">
        <f t="shared" si="445"/>
        <v>15</v>
      </c>
      <c r="T291" s="541">
        <f t="shared" si="446"/>
        <v>-72.2</v>
      </c>
      <c r="U291" s="547">
        <v>54</v>
      </c>
      <c r="V291" s="547">
        <v>15</v>
      </c>
      <c r="W291" s="541">
        <f t="shared" si="435"/>
        <v>-72.2</v>
      </c>
      <c r="X291" s="574">
        <f t="shared" si="436"/>
        <v>52</v>
      </c>
      <c r="Y291" s="547">
        <f t="shared" si="428"/>
        <v>1</v>
      </c>
      <c r="Z291" s="541">
        <f t="shared" si="437"/>
        <v>-98.1</v>
      </c>
      <c r="AA291" s="642">
        <v>106</v>
      </c>
      <c r="AB291" s="642">
        <v>16</v>
      </c>
      <c r="AC291" s="541">
        <f t="shared" si="438"/>
        <v>-84.9</v>
      </c>
      <c r="AD291" s="574">
        <f t="shared" si="442"/>
        <v>23</v>
      </c>
      <c r="AE291" s="574">
        <f t="shared" si="442"/>
        <v>16</v>
      </c>
      <c r="AF291" s="541">
        <f t="shared" si="443"/>
        <v>-30.4</v>
      </c>
      <c r="AG291" s="547">
        <v>129</v>
      </c>
      <c r="AH291" s="547">
        <v>32</v>
      </c>
      <c r="AI291" s="541">
        <f t="shared" si="441"/>
        <v>-75.2</v>
      </c>
    </row>
    <row r="292" spans="1:35">
      <c r="A292" s="92"/>
      <c r="B292" s="3"/>
      <c r="C292" s="101" t="s">
        <v>130</v>
      </c>
      <c r="D292" s="94">
        <v>166</v>
      </c>
      <c r="E292" s="94">
        <v>324</v>
      </c>
      <c r="F292" s="102">
        <v>255</v>
      </c>
      <c r="G292" s="94">
        <v>104</v>
      </c>
      <c r="H292" s="94">
        <v>170</v>
      </c>
      <c r="I292" s="642">
        <v>24</v>
      </c>
      <c r="J292" s="642">
        <v>23</v>
      </c>
      <c r="K292" s="541">
        <f t="shared" si="430"/>
        <v>-4.2</v>
      </c>
      <c r="L292" s="386">
        <f t="shared" si="431"/>
        <v>10</v>
      </c>
      <c r="M292" s="547">
        <f t="shared" si="431"/>
        <v>0</v>
      </c>
      <c r="N292" s="541">
        <f t="shared" si="432"/>
        <v>-100</v>
      </c>
      <c r="O292" s="547">
        <v>34</v>
      </c>
      <c r="P292" s="547">
        <v>23</v>
      </c>
      <c r="Q292" s="541">
        <f t="shared" si="433"/>
        <v>-32.4</v>
      </c>
      <c r="R292" s="574">
        <f t="shared" si="444"/>
        <v>15</v>
      </c>
      <c r="S292" s="547">
        <f t="shared" si="445"/>
        <v>4</v>
      </c>
      <c r="T292" s="541">
        <f t="shared" si="446"/>
        <v>-73.3</v>
      </c>
      <c r="U292" s="547">
        <v>49</v>
      </c>
      <c r="V292" s="547">
        <v>27</v>
      </c>
      <c r="W292" s="541">
        <f t="shared" si="435"/>
        <v>-44.9</v>
      </c>
      <c r="X292" s="574">
        <f t="shared" si="436"/>
        <v>15</v>
      </c>
      <c r="Y292" s="547">
        <f t="shared" si="428"/>
        <v>0</v>
      </c>
      <c r="Z292" s="541">
        <f t="shared" si="437"/>
        <v>-100</v>
      </c>
      <c r="AA292" s="642">
        <v>64</v>
      </c>
      <c r="AB292" s="642">
        <v>27</v>
      </c>
      <c r="AC292" s="541">
        <f t="shared" si="438"/>
        <v>-57.8</v>
      </c>
      <c r="AD292" s="574">
        <f t="shared" si="442"/>
        <v>40</v>
      </c>
      <c r="AE292" s="574">
        <f t="shared" si="442"/>
        <v>38</v>
      </c>
      <c r="AF292" s="541">
        <f t="shared" si="443"/>
        <v>-5</v>
      </c>
      <c r="AG292" s="547">
        <v>104</v>
      </c>
      <c r="AH292" s="547">
        <v>65</v>
      </c>
      <c r="AI292" s="541">
        <f t="shared" si="441"/>
        <v>-37.5</v>
      </c>
    </row>
    <row r="293" spans="1:35" s="605" customFormat="1">
      <c r="A293" s="676"/>
      <c r="B293" s="675"/>
      <c r="C293" s="101" t="s">
        <v>545</v>
      </c>
      <c r="D293" s="94">
        <v>1</v>
      </c>
      <c r="E293" s="94">
        <v>4</v>
      </c>
      <c r="F293" s="102">
        <v>15</v>
      </c>
      <c r="G293" s="94">
        <v>28</v>
      </c>
      <c r="H293" s="94">
        <v>166</v>
      </c>
      <c r="I293" s="642">
        <v>0</v>
      </c>
      <c r="J293" s="642">
        <v>13</v>
      </c>
      <c r="K293" s="570">
        <v>0</v>
      </c>
      <c r="L293" s="574">
        <f t="shared" ref="L293" si="447">O293-I293</f>
        <v>18</v>
      </c>
      <c r="M293" s="547">
        <f t="shared" ref="M293" si="448">P293-J293</f>
        <v>17</v>
      </c>
      <c r="N293" s="541">
        <f t="shared" si="432"/>
        <v>-5.6</v>
      </c>
      <c r="O293" s="547">
        <v>18</v>
      </c>
      <c r="P293" s="547">
        <v>30</v>
      </c>
      <c r="Q293" s="541">
        <f t="shared" si="433"/>
        <v>66.7</v>
      </c>
      <c r="R293" s="574">
        <f t="shared" si="444"/>
        <v>6</v>
      </c>
      <c r="S293" s="547">
        <f t="shared" si="445"/>
        <v>41</v>
      </c>
      <c r="T293" s="541">
        <f t="shared" si="446"/>
        <v>583.29999999999995</v>
      </c>
      <c r="U293" s="547">
        <v>24</v>
      </c>
      <c r="V293" s="547">
        <v>71</v>
      </c>
      <c r="W293" s="541">
        <f t="shared" si="435"/>
        <v>195.8</v>
      </c>
      <c r="X293" s="574">
        <f t="shared" si="436"/>
        <v>5</v>
      </c>
      <c r="Y293" s="547">
        <f t="shared" si="428"/>
        <v>11</v>
      </c>
      <c r="Z293" s="541">
        <f t="shared" si="437"/>
        <v>120</v>
      </c>
      <c r="AA293" s="642">
        <v>29</v>
      </c>
      <c r="AB293" s="642">
        <v>82</v>
      </c>
      <c r="AC293" s="541">
        <f t="shared" si="438"/>
        <v>182.8</v>
      </c>
      <c r="AD293" s="574">
        <f t="shared" si="442"/>
        <v>15</v>
      </c>
      <c r="AE293" s="574">
        <f t="shared" si="442"/>
        <v>62</v>
      </c>
      <c r="AF293" s="541">
        <f t="shared" si="443"/>
        <v>313.3</v>
      </c>
      <c r="AG293" s="547">
        <v>44</v>
      </c>
      <c r="AH293" s="547">
        <v>144</v>
      </c>
      <c r="AI293" s="541">
        <f t="shared" si="441"/>
        <v>227.3</v>
      </c>
    </row>
    <row r="294" spans="1:35">
      <c r="A294" s="92"/>
      <c r="B294" s="3"/>
      <c r="C294" s="101" t="s">
        <v>125</v>
      </c>
      <c r="D294" s="94">
        <v>131</v>
      </c>
      <c r="E294" s="94">
        <v>124</v>
      </c>
      <c r="F294" s="102">
        <v>176</v>
      </c>
      <c r="G294" s="94">
        <v>202</v>
      </c>
      <c r="H294" s="94">
        <v>158</v>
      </c>
      <c r="I294" s="642">
        <v>0</v>
      </c>
      <c r="J294" s="642">
        <v>3</v>
      </c>
      <c r="K294" s="570">
        <v>0</v>
      </c>
      <c r="L294" s="386">
        <f>O294-I294</f>
        <v>4</v>
      </c>
      <c r="M294" s="547">
        <f>P294-J294</f>
        <v>1</v>
      </c>
      <c r="N294" s="541">
        <f t="shared" si="432"/>
        <v>-75</v>
      </c>
      <c r="O294" s="547">
        <v>4</v>
      </c>
      <c r="P294" s="547">
        <v>4</v>
      </c>
      <c r="Q294" s="541">
        <f t="shared" si="433"/>
        <v>0</v>
      </c>
      <c r="R294" s="574">
        <f t="shared" si="444"/>
        <v>21</v>
      </c>
      <c r="S294" s="547">
        <f t="shared" si="445"/>
        <v>13</v>
      </c>
      <c r="T294" s="541">
        <f t="shared" si="446"/>
        <v>-38.1</v>
      </c>
      <c r="U294" s="547">
        <v>25</v>
      </c>
      <c r="V294" s="547">
        <v>17</v>
      </c>
      <c r="W294" s="541">
        <f t="shared" si="435"/>
        <v>-32</v>
      </c>
      <c r="X294" s="574">
        <f t="shared" si="436"/>
        <v>3</v>
      </c>
      <c r="Y294" s="547">
        <f t="shared" si="428"/>
        <v>4</v>
      </c>
      <c r="Z294" s="541">
        <f t="shared" si="437"/>
        <v>33.299999999999997</v>
      </c>
      <c r="AA294" s="642">
        <v>28</v>
      </c>
      <c r="AB294" s="642">
        <v>21</v>
      </c>
      <c r="AC294" s="541">
        <f t="shared" si="438"/>
        <v>-25</v>
      </c>
      <c r="AD294" s="574">
        <f t="shared" si="442"/>
        <v>2</v>
      </c>
      <c r="AE294" s="574">
        <f t="shared" si="442"/>
        <v>29</v>
      </c>
      <c r="AF294" s="541">
        <f t="shared" si="443"/>
        <v>1350</v>
      </c>
      <c r="AG294" s="547">
        <v>30</v>
      </c>
      <c r="AH294" s="547">
        <v>50</v>
      </c>
      <c r="AI294" s="541">
        <f t="shared" si="441"/>
        <v>66.7</v>
      </c>
    </row>
    <row r="295" spans="1:35">
      <c r="A295" s="92"/>
      <c r="B295" s="3"/>
      <c r="C295" s="101" t="s">
        <v>224</v>
      </c>
      <c r="D295" s="94">
        <v>237</v>
      </c>
      <c r="E295" s="94">
        <v>137</v>
      </c>
      <c r="F295" s="102">
        <v>135</v>
      </c>
      <c r="G295" s="94">
        <v>111</v>
      </c>
      <c r="H295" s="94">
        <v>124</v>
      </c>
      <c r="I295" s="642">
        <v>6</v>
      </c>
      <c r="J295" s="642">
        <v>15</v>
      </c>
      <c r="K295" s="541">
        <f t="shared" si="430"/>
        <v>150</v>
      </c>
      <c r="L295" s="386">
        <f>O295-I295</f>
        <v>13</v>
      </c>
      <c r="M295" s="547">
        <f>P295-J295</f>
        <v>13</v>
      </c>
      <c r="N295" s="541">
        <f t="shared" si="432"/>
        <v>0</v>
      </c>
      <c r="O295" s="547">
        <v>19</v>
      </c>
      <c r="P295" s="547">
        <v>28</v>
      </c>
      <c r="Q295" s="541">
        <f t="shared" si="433"/>
        <v>47.4</v>
      </c>
      <c r="R295" s="574">
        <f t="shared" si="444"/>
        <v>10</v>
      </c>
      <c r="S295" s="547">
        <f t="shared" si="445"/>
        <v>20</v>
      </c>
      <c r="T295" s="541">
        <f t="shared" si="446"/>
        <v>100</v>
      </c>
      <c r="U295" s="547">
        <v>29</v>
      </c>
      <c r="V295" s="547">
        <v>48</v>
      </c>
      <c r="W295" s="541">
        <f t="shared" si="435"/>
        <v>65.5</v>
      </c>
      <c r="X295" s="574">
        <f t="shared" si="436"/>
        <v>21</v>
      </c>
      <c r="Y295" s="547">
        <f t="shared" si="428"/>
        <v>11</v>
      </c>
      <c r="Z295" s="541">
        <f t="shared" si="437"/>
        <v>-47.6</v>
      </c>
      <c r="AA295" s="642">
        <v>50</v>
      </c>
      <c r="AB295" s="642">
        <v>59</v>
      </c>
      <c r="AC295" s="541">
        <f t="shared" si="438"/>
        <v>18</v>
      </c>
      <c r="AD295" s="574">
        <f t="shared" si="442"/>
        <v>20</v>
      </c>
      <c r="AE295" s="574">
        <f t="shared" si="442"/>
        <v>0</v>
      </c>
      <c r="AF295" s="541">
        <f t="shared" si="443"/>
        <v>-100</v>
      </c>
      <c r="AG295" s="547">
        <v>70</v>
      </c>
      <c r="AH295" s="547">
        <v>59</v>
      </c>
      <c r="AI295" s="541">
        <f t="shared" si="441"/>
        <v>-15.7</v>
      </c>
    </row>
    <row r="296" spans="1:35" s="605" customFormat="1">
      <c r="A296" s="676"/>
      <c r="B296" s="675"/>
      <c r="C296" s="101" t="s">
        <v>525</v>
      </c>
      <c r="D296" s="94">
        <v>69</v>
      </c>
      <c r="E296" s="94">
        <v>110</v>
      </c>
      <c r="F296" s="102">
        <v>24</v>
      </c>
      <c r="G296" s="94">
        <v>21</v>
      </c>
      <c r="H296" s="94">
        <v>118</v>
      </c>
      <c r="I296" s="642">
        <v>0</v>
      </c>
      <c r="J296" s="642">
        <v>10</v>
      </c>
      <c r="K296" s="570">
        <v>0</v>
      </c>
      <c r="L296" s="574">
        <f t="shared" ref="L296" si="449">O296-I296</f>
        <v>2</v>
      </c>
      <c r="M296" s="547">
        <f t="shared" ref="M296" si="450">P296-J296</f>
        <v>10</v>
      </c>
      <c r="N296" s="541">
        <f t="shared" si="432"/>
        <v>400</v>
      </c>
      <c r="O296" s="547">
        <v>2</v>
      </c>
      <c r="P296" s="547">
        <v>20</v>
      </c>
      <c r="Q296" s="541">
        <f t="shared" si="433"/>
        <v>900</v>
      </c>
      <c r="R296" s="574">
        <f t="shared" si="444"/>
        <v>8</v>
      </c>
      <c r="S296" s="547">
        <f t="shared" si="445"/>
        <v>1</v>
      </c>
      <c r="T296" s="541">
        <f t="shared" si="446"/>
        <v>-87.5</v>
      </c>
      <c r="U296" s="547">
        <v>10</v>
      </c>
      <c r="V296" s="547">
        <v>21</v>
      </c>
      <c r="W296" s="541">
        <f t="shared" si="435"/>
        <v>110</v>
      </c>
      <c r="X296" s="574">
        <f t="shared" si="436"/>
        <v>1</v>
      </c>
      <c r="Y296" s="547">
        <f t="shared" si="428"/>
        <v>11</v>
      </c>
      <c r="Z296" s="541">
        <f t="shared" si="437"/>
        <v>1000</v>
      </c>
      <c r="AA296" s="642">
        <v>11</v>
      </c>
      <c r="AB296" s="642">
        <v>32</v>
      </c>
      <c r="AC296" s="541">
        <f t="shared" si="438"/>
        <v>190.9</v>
      </c>
      <c r="AD296" s="574">
        <f t="shared" si="442"/>
        <v>11</v>
      </c>
      <c r="AE296" s="574">
        <f t="shared" si="442"/>
        <v>2</v>
      </c>
      <c r="AF296" s="541">
        <f t="shared" si="443"/>
        <v>-81.8</v>
      </c>
      <c r="AG296" s="547">
        <v>22</v>
      </c>
      <c r="AH296" s="547">
        <v>34</v>
      </c>
      <c r="AI296" s="541">
        <f t="shared" si="441"/>
        <v>54.5</v>
      </c>
    </row>
    <row r="297" spans="1:35">
      <c r="A297" s="92"/>
      <c r="B297" s="3"/>
      <c r="C297" s="101" t="s">
        <v>100</v>
      </c>
      <c r="D297" s="94">
        <v>107</v>
      </c>
      <c r="E297" s="94">
        <v>128</v>
      </c>
      <c r="F297" s="102">
        <v>158</v>
      </c>
      <c r="G297" s="94">
        <v>181</v>
      </c>
      <c r="H297" s="94">
        <v>113</v>
      </c>
      <c r="I297" s="642">
        <v>5</v>
      </c>
      <c r="J297" s="642">
        <v>4</v>
      </c>
      <c r="K297" s="541">
        <f t="shared" si="430"/>
        <v>-20</v>
      </c>
      <c r="L297" s="386">
        <f t="shared" ref="L297:M300" si="451">O297-I297</f>
        <v>5</v>
      </c>
      <c r="M297" s="547">
        <f t="shared" si="451"/>
        <v>6</v>
      </c>
      <c r="N297" s="541">
        <f t="shared" si="432"/>
        <v>20</v>
      </c>
      <c r="O297" s="547">
        <v>10</v>
      </c>
      <c r="P297" s="547">
        <v>10</v>
      </c>
      <c r="Q297" s="541">
        <f t="shared" si="433"/>
        <v>0</v>
      </c>
      <c r="R297" s="574">
        <f t="shared" si="444"/>
        <v>6</v>
      </c>
      <c r="S297" s="547">
        <f t="shared" si="445"/>
        <v>20</v>
      </c>
      <c r="T297" s="541">
        <f t="shared" si="446"/>
        <v>233.3</v>
      </c>
      <c r="U297" s="547">
        <v>16</v>
      </c>
      <c r="V297" s="547">
        <v>30</v>
      </c>
      <c r="W297" s="541">
        <f t="shared" si="435"/>
        <v>87.5</v>
      </c>
      <c r="X297" s="574">
        <f t="shared" si="436"/>
        <v>5</v>
      </c>
      <c r="Y297" s="547">
        <f t="shared" si="428"/>
        <v>9</v>
      </c>
      <c r="Z297" s="541">
        <f t="shared" si="437"/>
        <v>80</v>
      </c>
      <c r="AA297" s="642">
        <v>21</v>
      </c>
      <c r="AB297" s="642">
        <v>39</v>
      </c>
      <c r="AC297" s="541">
        <f t="shared" si="438"/>
        <v>85.7</v>
      </c>
      <c r="AD297" s="574">
        <f t="shared" si="442"/>
        <v>30</v>
      </c>
      <c r="AE297" s="574">
        <f t="shared" si="442"/>
        <v>2</v>
      </c>
      <c r="AF297" s="541">
        <f t="shared" si="443"/>
        <v>-93.3</v>
      </c>
      <c r="AG297" s="547">
        <v>51</v>
      </c>
      <c r="AH297" s="547">
        <v>41</v>
      </c>
      <c r="AI297" s="541">
        <f t="shared" si="441"/>
        <v>-19.600000000000001</v>
      </c>
    </row>
    <row r="298" spans="1:35">
      <c r="A298" s="92"/>
      <c r="B298" s="3"/>
      <c r="C298" s="101" t="s">
        <v>198</v>
      </c>
      <c r="D298" s="94">
        <v>1132</v>
      </c>
      <c r="E298" s="94">
        <v>2038</v>
      </c>
      <c r="F298" s="102">
        <v>1607</v>
      </c>
      <c r="G298" s="94">
        <v>101</v>
      </c>
      <c r="H298" s="94">
        <v>82</v>
      </c>
      <c r="I298" s="642">
        <v>0</v>
      </c>
      <c r="J298" s="642">
        <v>15</v>
      </c>
      <c r="K298" s="570">
        <v>0</v>
      </c>
      <c r="L298" s="386">
        <f t="shared" si="451"/>
        <v>0</v>
      </c>
      <c r="M298" s="547">
        <f t="shared" si="451"/>
        <v>9</v>
      </c>
      <c r="N298" s="570">
        <v>0</v>
      </c>
      <c r="O298" s="547">
        <v>0</v>
      </c>
      <c r="P298" s="547">
        <v>24</v>
      </c>
      <c r="Q298" s="570">
        <v>0</v>
      </c>
      <c r="R298" s="574">
        <f t="shared" si="444"/>
        <v>32</v>
      </c>
      <c r="S298" s="547">
        <f t="shared" si="445"/>
        <v>0</v>
      </c>
      <c r="T298" s="541">
        <f t="shared" si="446"/>
        <v>-100</v>
      </c>
      <c r="U298" s="547">
        <v>32</v>
      </c>
      <c r="V298" s="547">
        <v>24</v>
      </c>
      <c r="W298" s="541">
        <f t="shared" si="435"/>
        <v>-25</v>
      </c>
      <c r="X298" s="574">
        <f t="shared" si="436"/>
        <v>18</v>
      </c>
      <c r="Y298" s="547">
        <f t="shared" ref="Y298:Y300" si="452">AB298-V298</f>
        <v>0</v>
      </c>
      <c r="Z298" s="541">
        <f t="shared" si="437"/>
        <v>-100</v>
      </c>
      <c r="AA298" s="642">
        <v>50</v>
      </c>
      <c r="AB298" s="642">
        <v>24</v>
      </c>
      <c r="AC298" s="541">
        <f t="shared" si="438"/>
        <v>-52</v>
      </c>
      <c r="AD298" s="574">
        <f t="shared" si="442"/>
        <v>0</v>
      </c>
      <c r="AE298" s="574">
        <f t="shared" si="442"/>
        <v>13</v>
      </c>
      <c r="AF298" s="570">
        <v>0</v>
      </c>
      <c r="AG298" s="547">
        <v>50</v>
      </c>
      <c r="AH298" s="547">
        <v>37</v>
      </c>
      <c r="AI298" s="541">
        <f t="shared" si="441"/>
        <v>-26</v>
      </c>
    </row>
    <row r="299" spans="1:35" s="605" customFormat="1">
      <c r="A299" s="676"/>
      <c r="B299" s="675"/>
      <c r="C299" s="101" t="s">
        <v>98</v>
      </c>
      <c r="D299" s="94">
        <v>89</v>
      </c>
      <c r="E299" s="94">
        <v>50</v>
      </c>
      <c r="F299" s="102">
        <v>59</v>
      </c>
      <c r="G299" s="94">
        <v>46</v>
      </c>
      <c r="H299" s="94">
        <v>46</v>
      </c>
      <c r="I299" s="642">
        <v>3</v>
      </c>
      <c r="J299" s="642">
        <v>3</v>
      </c>
      <c r="K299" s="541">
        <f>ROUND(((J299/I299-1)*100), 1)</f>
        <v>0</v>
      </c>
      <c r="L299" s="574">
        <f t="shared" si="451"/>
        <v>3</v>
      </c>
      <c r="M299" s="547">
        <f t="shared" si="451"/>
        <v>3</v>
      </c>
      <c r="N299" s="541">
        <f t="shared" si="432"/>
        <v>0</v>
      </c>
      <c r="O299" s="547">
        <v>6</v>
      </c>
      <c r="P299" s="547">
        <v>6</v>
      </c>
      <c r="Q299" s="541">
        <f t="shared" si="433"/>
        <v>0</v>
      </c>
      <c r="R299" s="574">
        <f t="shared" si="444"/>
        <v>9</v>
      </c>
      <c r="S299" s="547">
        <f t="shared" si="445"/>
        <v>25</v>
      </c>
      <c r="T299" s="541">
        <f t="shared" si="446"/>
        <v>177.8</v>
      </c>
      <c r="U299" s="547">
        <v>15</v>
      </c>
      <c r="V299" s="547">
        <v>31</v>
      </c>
      <c r="W299" s="541">
        <f t="shared" si="435"/>
        <v>106.7</v>
      </c>
      <c r="X299" s="574">
        <f t="shared" si="436"/>
        <v>3</v>
      </c>
      <c r="Y299" s="547">
        <f t="shared" si="452"/>
        <v>1</v>
      </c>
      <c r="Z299" s="541">
        <f t="shared" si="437"/>
        <v>-66.7</v>
      </c>
      <c r="AA299" s="642">
        <v>18</v>
      </c>
      <c r="AB299" s="642">
        <v>32</v>
      </c>
      <c r="AC299" s="541">
        <f>ROUND(((AB299/AA299-1)*100), 1)</f>
        <v>77.8</v>
      </c>
      <c r="AD299" s="574">
        <f t="shared" si="442"/>
        <v>8</v>
      </c>
      <c r="AE299" s="574">
        <f t="shared" si="442"/>
        <v>2</v>
      </c>
      <c r="AF299" s="541">
        <f t="shared" si="443"/>
        <v>-75</v>
      </c>
      <c r="AG299" s="547">
        <v>26</v>
      </c>
      <c r="AH299" s="547">
        <v>34</v>
      </c>
      <c r="AI299" s="541">
        <f t="shared" si="441"/>
        <v>30.8</v>
      </c>
    </row>
    <row r="300" spans="1:35">
      <c r="A300" s="92"/>
      <c r="B300" s="3"/>
      <c r="C300" s="101" t="s">
        <v>206</v>
      </c>
      <c r="D300" s="94">
        <v>125</v>
      </c>
      <c r="E300" s="94">
        <v>55</v>
      </c>
      <c r="F300" s="102">
        <v>62</v>
      </c>
      <c r="G300" s="94">
        <v>0</v>
      </c>
      <c r="H300" s="94">
        <v>41</v>
      </c>
      <c r="I300" s="642">
        <v>0</v>
      </c>
      <c r="J300" s="642">
        <v>0</v>
      </c>
      <c r="K300" s="570">
        <v>0</v>
      </c>
      <c r="L300" s="386">
        <f t="shared" si="451"/>
        <v>0</v>
      </c>
      <c r="M300" s="547">
        <f t="shared" si="451"/>
        <v>0</v>
      </c>
      <c r="N300" s="570">
        <v>0</v>
      </c>
      <c r="O300" s="547">
        <v>0</v>
      </c>
      <c r="P300" s="547">
        <v>0</v>
      </c>
      <c r="Q300" s="570">
        <v>0</v>
      </c>
      <c r="R300" s="574">
        <f t="shared" si="444"/>
        <v>21</v>
      </c>
      <c r="S300" s="547">
        <f t="shared" si="445"/>
        <v>0</v>
      </c>
      <c r="T300" s="541">
        <f t="shared" si="446"/>
        <v>-100</v>
      </c>
      <c r="U300" s="547">
        <v>21</v>
      </c>
      <c r="V300" s="547">
        <v>0</v>
      </c>
      <c r="W300" s="541">
        <f t="shared" si="435"/>
        <v>-100</v>
      </c>
      <c r="X300" s="574">
        <f t="shared" si="436"/>
        <v>0</v>
      </c>
      <c r="Y300" s="547">
        <f t="shared" si="452"/>
        <v>0</v>
      </c>
      <c r="Z300" s="570">
        <v>0</v>
      </c>
      <c r="AA300" s="642">
        <v>21</v>
      </c>
      <c r="AB300" s="642">
        <v>0</v>
      </c>
      <c r="AC300" s="541">
        <f>ROUND(((AB300/AA300-1)*100), 1)</f>
        <v>-100</v>
      </c>
      <c r="AD300" s="574">
        <f t="shared" si="442"/>
        <v>0</v>
      </c>
      <c r="AE300" s="574">
        <f t="shared" si="442"/>
        <v>46</v>
      </c>
      <c r="AF300" s="570">
        <v>0</v>
      </c>
      <c r="AG300" s="547">
        <v>21</v>
      </c>
      <c r="AH300" s="547">
        <v>46</v>
      </c>
      <c r="AI300" s="541">
        <f t="shared" si="441"/>
        <v>119</v>
      </c>
    </row>
    <row r="301" spans="1:35" s="605" customFormat="1">
      <c r="A301" s="676"/>
      <c r="B301" s="675"/>
      <c r="C301" s="101" t="s">
        <v>75</v>
      </c>
      <c r="D301" s="94">
        <f t="shared" ref="D301:J301" si="453">D302-SUM(D283:D300)</f>
        <v>768</v>
      </c>
      <c r="E301" s="94">
        <f t="shared" si="453"/>
        <v>867</v>
      </c>
      <c r="F301" s="94">
        <f t="shared" si="453"/>
        <v>997</v>
      </c>
      <c r="G301" s="94">
        <f t="shared" si="453"/>
        <v>555</v>
      </c>
      <c r="H301" s="94">
        <f t="shared" si="453"/>
        <v>631</v>
      </c>
      <c r="I301" s="642">
        <f t="shared" si="453"/>
        <v>74</v>
      </c>
      <c r="J301" s="642">
        <f t="shared" si="453"/>
        <v>46</v>
      </c>
      <c r="K301" s="541">
        <f>ROUND(((J301/I301-1)*100), 1)</f>
        <v>-37.799999999999997</v>
      </c>
      <c r="L301" s="574">
        <f>L302-SUM(L283:L300)</f>
        <v>37</v>
      </c>
      <c r="M301" s="547">
        <f>M302-SUM(M283:M300)</f>
        <v>24</v>
      </c>
      <c r="N301" s="541">
        <f>ROUND(((M301/L301-1)*100), 1)</f>
        <v>-35.1</v>
      </c>
      <c r="O301" s="547">
        <f>O302-SUM(O283:O300)</f>
        <v>111</v>
      </c>
      <c r="P301" s="547">
        <f>P302-SUM(P283:P300)</f>
        <v>70</v>
      </c>
      <c r="Q301" s="541">
        <f>ROUND(((P301/O301-1)*100), 1)</f>
        <v>-36.9</v>
      </c>
      <c r="R301" s="574">
        <f>R302-SUM(R283:R300)</f>
        <v>16</v>
      </c>
      <c r="S301" s="547">
        <f>S302-SUM(S283:S300)</f>
        <v>84</v>
      </c>
      <c r="T301" s="541">
        <f>ROUND(((S301/R301-1)*100), 1)</f>
        <v>425</v>
      </c>
      <c r="U301" s="547">
        <f>U302-SUM(U283:U300)</f>
        <v>127</v>
      </c>
      <c r="V301" s="547">
        <f>V302-SUM(V283:V300)</f>
        <v>154</v>
      </c>
      <c r="W301" s="541">
        <f>ROUND(((V301/U301-1)*100), 1)</f>
        <v>21.3</v>
      </c>
      <c r="X301" s="574">
        <f>X302-SUM(X283:X300)</f>
        <v>77</v>
      </c>
      <c r="Y301" s="547">
        <f>Y302-SUM(Y283:Y300)</f>
        <v>42</v>
      </c>
      <c r="Z301" s="541">
        <f>ROUND(((Y301/X301-1)*100), 1)</f>
        <v>-45.5</v>
      </c>
      <c r="AA301" s="642">
        <f>AA302-SUM(AA283:AA300)</f>
        <v>204</v>
      </c>
      <c r="AB301" s="642">
        <f>AB302-SUM(AB283:AB300)</f>
        <v>196</v>
      </c>
      <c r="AC301" s="541">
        <f>ROUND(((AB301/AA301-1)*100), 1)</f>
        <v>-3.9</v>
      </c>
      <c r="AD301" s="574">
        <f>AD302-SUM(AD283:AD300)</f>
        <v>74</v>
      </c>
      <c r="AE301" s="574">
        <f>AE302-SUM(AE283:AE300)</f>
        <v>115</v>
      </c>
      <c r="AF301" s="541">
        <f>ROUND(((AE301/AD301-1)*100), 1)</f>
        <v>55.4</v>
      </c>
      <c r="AG301" s="547">
        <f>AG302-SUM(AG283:AG300)</f>
        <v>278</v>
      </c>
      <c r="AH301" s="547">
        <f>AH302-SUM(AH283:AH300)</f>
        <v>311</v>
      </c>
      <c r="AI301" s="541">
        <f>ROUND(((AH301/AG301-1)*100), 1)</f>
        <v>11.9</v>
      </c>
    </row>
    <row r="302" spans="1:35">
      <c r="A302" s="92"/>
      <c r="B302" s="8"/>
      <c r="C302" s="41" t="s">
        <v>213</v>
      </c>
      <c r="D302" s="95">
        <v>16661</v>
      </c>
      <c r="E302" s="95">
        <v>17196</v>
      </c>
      <c r="F302" s="326">
        <v>14312</v>
      </c>
      <c r="G302" s="95">
        <v>11199</v>
      </c>
      <c r="H302" s="95">
        <v>10316</v>
      </c>
      <c r="I302" s="644">
        <v>748</v>
      </c>
      <c r="J302" s="644">
        <v>685</v>
      </c>
      <c r="K302" s="256">
        <f>ROUND(((J302/I302-1)*100), 1)</f>
        <v>-8.4</v>
      </c>
      <c r="L302" s="381">
        <f>O302-I302</f>
        <v>879</v>
      </c>
      <c r="M302" s="548">
        <f>P302-J302</f>
        <v>643</v>
      </c>
      <c r="N302" s="256">
        <f>ROUND(((M302/L302-1)*100), 1)</f>
        <v>-26.8</v>
      </c>
      <c r="O302" s="548">
        <v>1627</v>
      </c>
      <c r="P302" s="548">
        <v>1328</v>
      </c>
      <c r="Q302" s="256">
        <f>ROUND(((P302/O302-1)*100), 1)</f>
        <v>-18.399999999999999</v>
      </c>
      <c r="R302" s="554">
        <f>U302-O302</f>
        <v>977</v>
      </c>
      <c r="S302" s="548">
        <f>V302-P302</f>
        <v>962</v>
      </c>
      <c r="T302" s="256">
        <f>ROUND(((S302/R302-1)*100), 1)</f>
        <v>-1.5</v>
      </c>
      <c r="U302" s="548">
        <v>2604</v>
      </c>
      <c r="V302" s="548">
        <v>2290</v>
      </c>
      <c r="W302" s="256">
        <f>ROUND(((V302/U302-1)*100), 1)</f>
        <v>-12.1</v>
      </c>
      <c r="X302" s="381">
        <f>AA302-U302</f>
        <v>978</v>
      </c>
      <c r="Y302" s="548">
        <f>AB302-V302</f>
        <v>791</v>
      </c>
      <c r="Z302" s="256">
        <f>ROUND(((Y302/X302-1)*100), 1)</f>
        <v>-19.100000000000001</v>
      </c>
      <c r="AA302" s="644">
        <v>3582</v>
      </c>
      <c r="AB302" s="644">
        <v>3081</v>
      </c>
      <c r="AC302" s="256">
        <f>ROUND(((AB302/AA302-1)*100), 1)</f>
        <v>-14</v>
      </c>
      <c r="AD302" s="381">
        <f>AG302-AA302</f>
        <v>788</v>
      </c>
      <c r="AE302" s="554">
        <f>AH302-AB302</f>
        <v>1030</v>
      </c>
      <c r="AF302" s="256">
        <f>ROUND(((AE302/AD302-1)*100), 1)</f>
        <v>30.7</v>
      </c>
      <c r="AG302" s="548">
        <v>4370</v>
      </c>
      <c r="AH302" s="548">
        <v>4111</v>
      </c>
      <c r="AI302" s="256">
        <f>ROUND(((AH302/AG302-1)*100), 1)</f>
        <v>-5.9</v>
      </c>
    </row>
    <row r="303" spans="1:35">
      <c r="A303" s="93"/>
      <c r="B303" s="844" t="s">
        <v>171</v>
      </c>
      <c r="C303" s="828"/>
      <c r="D303" s="104">
        <f t="shared" ref="D303:J303" si="454">SUM(D282+D302)</f>
        <v>61488</v>
      </c>
      <c r="E303" s="104">
        <f t="shared" si="454"/>
        <v>67631</v>
      </c>
      <c r="F303" s="327">
        <f t="shared" si="454"/>
        <v>73563</v>
      </c>
      <c r="G303" s="103">
        <f t="shared" si="454"/>
        <v>69943</v>
      </c>
      <c r="H303" s="103">
        <f t="shared" si="454"/>
        <v>79608</v>
      </c>
      <c r="I303" s="649">
        <f t="shared" si="454"/>
        <v>5608</v>
      </c>
      <c r="J303" s="649">
        <f t="shared" si="454"/>
        <v>6479</v>
      </c>
      <c r="K303" s="256">
        <f>ROUND(((J303/I303-1)*100), 1)</f>
        <v>15.5</v>
      </c>
      <c r="L303" s="380">
        <f>SUM(L282+L302)</f>
        <v>5654</v>
      </c>
      <c r="M303" s="551">
        <f>SUM(M282+M302)</f>
        <v>6622</v>
      </c>
      <c r="N303" s="256">
        <f>ROUND(((M303/L303-1)*100), 1)</f>
        <v>17.100000000000001</v>
      </c>
      <c r="O303" s="551">
        <f>SUM(O282+O302)</f>
        <v>11262</v>
      </c>
      <c r="P303" s="551">
        <f>SUM(P282+P302)</f>
        <v>13101</v>
      </c>
      <c r="Q303" s="256">
        <f>ROUND(((P303/O303-1)*100), 1)</f>
        <v>16.3</v>
      </c>
      <c r="R303" s="553">
        <f>SUM(R282+R302)</f>
        <v>6837</v>
      </c>
      <c r="S303" s="551">
        <f>SUM(S282+S302)</f>
        <v>7648</v>
      </c>
      <c r="T303" s="256">
        <f>ROUND(((S303/R303-1)*100), 1)</f>
        <v>11.9</v>
      </c>
      <c r="U303" s="551">
        <f>SUM(U282+U302)</f>
        <v>18099</v>
      </c>
      <c r="V303" s="551">
        <f>SUM(V282+V302)</f>
        <v>20749</v>
      </c>
      <c r="W303" s="256">
        <f>ROUND(((V303/U303-1)*100), 1)</f>
        <v>14.6</v>
      </c>
      <c r="X303" s="380">
        <f>SUM(X282+X302)</f>
        <v>6578</v>
      </c>
      <c r="Y303" s="551">
        <f>SUM(Y282+Y302)</f>
        <v>7495</v>
      </c>
      <c r="Z303" s="256">
        <f>ROUND(((Y303/X303-1)*100), 1)</f>
        <v>13.9</v>
      </c>
      <c r="AA303" s="649">
        <f>SUM(AA282+AA302)</f>
        <v>24677</v>
      </c>
      <c r="AB303" s="649">
        <f>SUM(AB282+AB302)</f>
        <v>28244</v>
      </c>
      <c r="AC303" s="256">
        <f>ROUND(((AB303/AA303-1)*100), 1)</f>
        <v>14.5</v>
      </c>
      <c r="AD303" s="380">
        <f>SUM(AD282+AD302)</f>
        <v>6318</v>
      </c>
      <c r="AE303" s="551">
        <f>SUM(AE282+AE302)</f>
        <v>7017</v>
      </c>
      <c r="AF303" s="256">
        <f>ROUND(((AE303/AD303-1)*100), 1)</f>
        <v>11.1</v>
      </c>
      <c r="AG303" s="551">
        <f>SUM(AG282+AG302)</f>
        <v>30995</v>
      </c>
      <c r="AH303" s="551">
        <f>SUM(AH282+AH302)</f>
        <v>35261</v>
      </c>
      <c r="AI303" s="256">
        <f>ROUND(((AH303/AG303-1)*100), 1)</f>
        <v>13.8</v>
      </c>
    </row>
    <row r="304" spans="1:35" ht="12.75" customHeight="1">
      <c r="K304" s="257"/>
    </row>
    <row r="305" spans="1:35">
      <c r="K305" s="257"/>
    </row>
    <row r="306" spans="1:35">
      <c r="A306" s="26"/>
      <c r="B306" s="26"/>
      <c r="D306" s="71"/>
      <c r="E306" s="71"/>
      <c r="F306" s="266"/>
      <c r="G306" s="266"/>
      <c r="H306" s="567"/>
      <c r="I306" s="624"/>
      <c r="J306" s="624"/>
      <c r="K306" s="258" t="s">
        <v>87</v>
      </c>
      <c r="L306" s="266"/>
      <c r="M306" s="567"/>
      <c r="N306" s="262"/>
      <c r="O306" s="567"/>
      <c r="P306" s="567"/>
      <c r="Q306" s="262" t="s">
        <v>87</v>
      </c>
      <c r="R306" s="567"/>
      <c r="S306" s="567"/>
      <c r="T306" s="262"/>
      <c r="U306" s="567"/>
      <c r="V306" s="567"/>
      <c r="W306" s="262" t="s">
        <v>87</v>
      </c>
      <c r="X306" s="266"/>
      <c r="Y306" s="567"/>
      <c r="Z306" s="262"/>
      <c r="AA306" s="624"/>
      <c r="AB306" s="624"/>
      <c r="AC306" s="262" t="s">
        <v>87</v>
      </c>
      <c r="AD306" s="266"/>
      <c r="AE306" s="567"/>
      <c r="AF306" s="262"/>
      <c r="AG306" s="567"/>
      <c r="AH306" s="567"/>
      <c r="AI306" s="262" t="s">
        <v>87</v>
      </c>
    </row>
    <row r="307" spans="1:35" s="367" customFormat="1" ht="18" customHeight="1">
      <c r="A307" s="733" t="s">
        <v>88</v>
      </c>
      <c r="B307" s="733"/>
      <c r="C307" s="733"/>
      <c r="D307" s="855" t="s">
        <v>2</v>
      </c>
      <c r="E307" s="855" t="s">
        <v>559</v>
      </c>
      <c r="F307" s="855" t="s">
        <v>76</v>
      </c>
      <c r="G307" s="856" t="s">
        <v>294</v>
      </c>
      <c r="H307" s="856" t="s">
        <v>431</v>
      </c>
      <c r="I307" s="854" t="s">
        <v>33</v>
      </c>
      <c r="J307" s="855"/>
      <c r="K307" s="733"/>
      <c r="L307" s="852" t="s">
        <v>553</v>
      </c>
      <c r="M307" s="853"/>
      <c r="N307" s="733"/>
      <c r="O307" s="852" t="s">
        <v>554</v>
      </c>
      <c r="P307" s="853"/>
      <c r="Q307" s="733"/>
      <c r="R307" s="852" t="s">
        <v>555</v>
      </c>
      <c r="S307" s="853"/>
      <c r="T307" s="733"/>
      <c r="U307" s="852" t="s">
        <v>556</v>
      </c>
      <c r="V307" s="853"/>
      <c r="W307" s="733"/>
      <c r="X307" s="852" t="s">
        <v>484</v>
      </c>
      <c r="Y307" s="853"/>
      <c r="Z307" s="733"/>
      <c r="AA307" s="852" t="s">
        <v>486</v>
      </c>
      <c r="AB307" s="853"/>
      <c r="AC307" s="733"/>
      <c r="AD307" s="852" t="s">
        <v>557</v>
      </c>
      <c r="AE307" s="853"/>
      <c r="AF307" s="733"/>
      <c r="AG307" s="852" t="s">
        <v>558</v>
      </c>
      <c r="AH307" s="853"/>
      <c r="AI307" s="733"/>
    </row>
    <row r="308" spans="1:35" s="367" customFormat="1" ht="18" customHeight="1">
      <c r="A308" s="733"/>
      <c r="B308" s="733"/>
      <c r="C308" s="733"/>
      <c r="D308" s="855"/>
      <c r="E308" s="855"/>
      <c r="F308" s="855"/>
      <c r="G308" s="857"/>
      <c r="H308" s="857"/>
      <c r="I308" s="699" t="s">
        <v>431</v>
      </c>
      <c r="J308" s="650" t="s">
        <v>503</v>
      </c>
      <c r="K308" s="688" t="s">
        <v>5</v>
      </c>
      <c r="L308" s="687" t="s">
        <v>431</v>
      </c>
      <c r="M308" s="586" t="s">
        <v>503</v>
      </c>
      <c r="N308" s="688" t="s">
        <v>5</v>
      </c>
      <c r="O308" s="687" t="s">
        <v>431</v>
      </c>
      <c r="P308" s="586" t="s">
        <v>503</v>
      </c>
      <c r="Q308" s="688" t="s">
        <v>5</v>
      </c>
      <c r="R308" s="687" t="s">
        <v>431</v>
      </c>
      <c r="S308" s="586" t="s">
        <v>503</v>
      </c>
      <c r="T308" s="688" t="s">
        <v>5</v>
      </c>
      <c r="U308" s="687" t="s">
        <v>431</v>
      </c>
      <c r="V308" s="586" t="s">
        <v>503</v>
      </c>
      <c r="W308" s="688" t="s">
        <v>5</v>
      </c>
      <c r="X308" s="687" t="s">
        <v>431</v>
      </c>
      <c r="Y308" s="586" t="s">
        <v>503</v>
      </c>
      <c r="Z308" s="688" t="s">
        <v>5</v>
      </c>
      <c r="AA308" s="699" t="s">
        <v>431</v>
      </c>
      <c r="AB308" s="650" t="s">
        <v>503</v>
      </c>
      <c r="AC308" s="688" t="s">
        <v>5</v>
      </c>
      <c r="AD308" s="687" t="s">
        <v>431</v>
      </c>
      <c r="AE308" s="586" t="s">
        <v>503</v>
      </c>
      <c r="AF308" s="688" t="s">
        <v>5</v>
      </c>
      <c r="AG308" s="687" t="s">
        <v>431</v>
      </c>
      <c r="AH308" s="586" t="s">
        <v>503</v>
      </c>
      <c r="AI308" s="688" t="s">
        <v>5</v>
      </c>
    </row>
    <row r="309" spans="1:35">
      <c r="A309" s="92"/>
      <c r="B309" s="7" t="s">
        <v>225</v>
      </c>
      <c r="C309" s="99" t="s">
        <v>89</v>
      </c>
      <c r="D309" s="94">
        <v>37512</v>
      </c>
      <c r="E309" s="332">
        <v>46131</v>
      </c>
      <c r="F309" s="100">
        <v>60066</v>
      </c>
      <c r="G309" s="94">
        <v>59485</v>
      </c>
      <c r="H309" s="682">
        <v>62809</v>
      </c>
      <c r="I309" s="642">
        <v>5216</v>
      </c>
      <c r="J309" s="642">
        <v>5098</v>
      </c>
      <c r="K309" s="255">
        <f t="shared" ref="K309:K325" si="455">ROUND(((J309/I309-1)*100), 1)</f>
        <v>-2.2999999999999998</v>
      </c>
      <c r="L309" s="386">
        <f t="shared" ref="L309:M314" si="456">O309-I309</f>
        <v>3893</v>
      </c>
      <c r="M309" s="547">
        <f t="shared" si="456"/>
        <v>5808</v>
      </c>
      <c r="N309" s="255">
        <f>ROUND(((M309/L309-1)*100), 1)</f>
        <v>49.2</v>
      </c>
      <c r="O309" s="547">
        <v>9109</v>
      </c>
      <c r="P309" s="547">
        <v>10906</v>
      </c>
      <c r="Q309" s="255">
        <f t="shared" ref="Q309:Q314" si="457">ROUND(((P309/O309-1)*100), 1)</f>
        <v>19.7</v>
      </c>
      <c r="R309" s="574">
        <f t="shared" ref="R309:R312" si="458">U309-O309</f>
        <v>6095</v>
      </c>
      <c r="S309" s="547">
        <f t="shared" ref="S309:S312" si="459">V309-P309</f>
        <v>7567</v>
      </c>
      <c r="T309" s="255">
        <f t="shared" ref="T309:T312" si="460">ROUND(((S309/R309-1)*100), 1)</f>
        <v>24.2</v>
      </c>
      <c r="U309" s="481">
        <v>15204</v>
      </c>
      <c r="V309" s="478">
        <v>18473</v>
      </c>
      <c r="W309" s="255">
        <f t="shared" ref="W309:W321" si="461">ROUND(((V309/U309-1)*100), 1)</f>
        <v>21.5</v>
      </c>
      <c r="X309" s="386">
        <f t="shared" ref="X309:Y324" si="462">AA309-U309</f>
        <v>4869</v>
      </c>
      <c r="Y309" s="547">
        <f t="shared" si="462"/>
        <v>6668</v>
      </c>
      <c r="Z309" s="255">
        <f t="shared" ref="Z309:Z314" si="463">ROUND(((Y309/X309-1)*100), 1)</f>
        <v>36.9</v>
      </c>
      <c r="AA309" s="656">
        <v>20073</v>
      </c>
      <c r="AB309" s="654">
        <v>25141</v>
      </c>
      <c r="AC309" s="255">
        <f t="shared" ref="AC309:AC314" si="464">ROUND(((AB309/AA309-1)*100), 1)</f>
        <v>25.2</v>
      </c>
      <c r="AD309" s="386">
        <f t="shared" ref="AD309:AE312" si="465">AG309-AA309</f>
        <v>4368</v>
      </c>
      <c r="AE309" s="574">
        <f t="shared" si="465"/>
        <v>6593</v>
      </c>
      <c r="AF309" s="255">
        <f t="shared" ref="AF309:AF312" si="466">ROUND(((AE309/AD309-1)*100), 1)</f>
        <v>50.9</v>
      </c>
      <c r="AG309" s="481">
        <v>24441</v>
      </c>
      <c r="AH309" s="547">
        <v>31734</v>
      </c>
      <c r="AI309" s="255">
        <f t="shared" ref="AI309:AI321" si="467">ROUND(((AH309/AG309-1)*100), 1)</f>
        <v>29.8</v>
      </c>
    </row>
    <row r="310" spans="1:35">
      <c r="A310" s="92" t="s">
        <v>126</v>
      </c>
      <c r="B310" s="3" t="s">
        <v>221</v>
      </c>
      <c r="C310" s="101" t="s">
        <v>100</v>
      </c>
      <c r="D310" s="94">
        <v>1764</v>
      </c>
      <c r="E310" s="332">
        <v>2046</v>
      </c>
      <c r="F310" s="94">
        <v>2216</v>
      </c>
      <c r="G310" s="94">
        <v>1454</v>
      </c>
      <c r="H310" s="682">
        <v>1466</v>
      </c>
      <c r="I310" s="642">
        <v>90</v>
      </c>
      <c r="J310" s="642">
        <v>114</v>
      </c>
      <c r="K310" s="255">
        <f t="shared" si="455"/>
        <v>26.7</v>
      </c>
      <c r="L310" s="386">
        <f t="shared" si="456"/>
        <v>147</v>
      </c>
      <c r="M310" s="547">
        <f t="shared" si="456"/>
        <v>139</v>
      </c>
      <c r="N310" s="255">
        <f>ROUND(((M310/L310-1)*100), 1)</f>
        <v>-5.4</v>
      </c>
      <c r="O310" s="547">
        <v>237</v>
      </c>
      <c r="P310" s="547">
        <v>253</v>
      </c>
      <c r="Q310" s="255">
        <f t="shared" si="457"/>
        <v>6.8</v>
      </c>
      <c r="R310" s="574">
        <f t="shared" si="458"/>
        <v>152</v>
      </c>
      <c r="S310" s="547">
        <f t="shared" si="459"/>
        <v>177</v>
      </c>
      <c r="T310" s="255">
        <f t="shared" si="460"/>
        <v>16.399999999999999</v>
      </c>
      <c r="U310" s="481">
        <v>389</v>
      </c>
      <c r="V310" s="478">
        <v>430</v>
      </c>
      <c r="W310" s="255">
        <f t="shared" si="461"/>
        <v>10.5</v>
      </c>
      <c r="X310" s="386">
        <f t="shared" si="462"/>
        <v>185</v>
      </c>
      <c r="Y310" s="547">
        <f t="shared" si="462"/>
        <v>174</v>
      </c>
      <c r="Z310" s="255">
        <f t="shared" si="463"/>
        <v>-5.9</v>
      </c>
      <c r="AA310" s="656">
        <v>574</v>
      </c>
      <c r="AB310" s="654">
        <v>604</v>
      </c>
      <c r="AC310" s="255">
        <f t="shared" si="464"/>
        <v>5.2</v>
      </c>
      <c r="AD310" s="386">
        <f t="shared" si="465"/>
        <v>97</v>
      </c>
      <c r="AE310" s="574">
        <f t="shared" si="465"/>
        <v>155</v>
      </c>
      <c r="AF310" s="255">
        <f t="shared" si="466"/>
        <v>59.8</v>
      </c>
      <c r="AG310" s="481">
        <v>671</v>
      </c>
      <c r="AH310" s="547">
        <v>759</v>
      </c>
      <c r="AI310" s="255">
        <f t="shared" si="467"/>
        <v>13.1</v>
      </c>
    </row>
    <row r="311" spans="1:35">
      <c r="A311" s="92"/>
      <c r="B311" s="3" t="s">
        <v>226</v>
      </c>
      <c r="C311" s="101" t="s">
        <v>109</v>
      </c>
      <c r="D311" s="94">
        <v>1116</v>
      </c>
      <c r="E311" s="332">
        <v>981</v>
      </c>
      <c r="F311" s="94">
        <v>891</v>
      </c>
      <c r="G311" s="94">
        <v>1452</v>
      </c>
      <c r="H311" s="682">
        <v>895</v>
      </c>
      <c r="I311" s="642">
        <v>6</v>
      </c>
      <c r="J311" s="642">
        <v>56</v>
      </c>
      <c r="K311" s="255">
        <f t="shared" si="455"/>
        <v>833.3</v>
      </c>
      <c r="L311" s="386">
        <f t="shared" si="456"/>
        <v>113</v>
      </c>
      <c r="M311" s="547">
        <f t="shared" si="456"/>
        <v>121</v>
      </c>
      <c r="N311" s="255">
        <f>ROUND(((M311/L311-1)*100), 1)</f>
        <v>7.1</v>
      </c>
      <c r="O311" s="547">
        <v>119</v>
      </c>
      <c r="P311" s="547">
        <v>177</v>
      </c>
      <c r="Q311" s="255">
        <f t="shared" si="457"/>
        <v>48.7</v>
      </c>
      <c r="R311" s="574">
        <f t="shared" si="458"/>
        <v>120</v>
      </c>
      <c r="S311" s="547">
        <f t="shared" si="459"/>
        <v>0</v>
      </c>
      <c r="T311" s="255">
        <f t="shared" si="460"/>
        <v>-100</v>
      </c>
      <c r="U311" s="481">
        <v>239</v>
      </c>
      <c r="V311" s="478">
        <v>177</v>
      </c>
      <c r="W311" s="255">
        <f t="shared" si="461"/>
        <v>-25.9</v>
      </c>
      <c r="X311" s="386">
        <f t="shared" si="462"/>
        <v>61</v>
      </c>
      <c r="Y311" s="547">
        <f t="shared" si="462"/>
        <v>107</v>
      </c>
      <c r="Z311" s="255">
        <f t="shared" si="463"/>
        <v>75.400000000000006</v>
      </c>
      <c r="AA311" s="656">
        <v>300</v>
      </c>
      <c r="AB311" s="654">
        <v>284</v>
      </c>
      <c r="AC311" s="255">
        <f t="shared" si="464"/>
        <v>-5.3</v>
      </c>
      <c r="AD311" s="386">
        <f t="shared" si="465"/>
        <v>107</v>
      </c>
      <c r="AE311" s="574">
        <f t="shared" si="465"/>
        <v>29</v>
      </c>
      <c r="AF311" s="255">
        <f t="shared" si="466"/>
        <v>-72.900000000000006</v>
      </c>
      <c r="AG311" s="481">
        <v>407</v>
      </c>
      <c r="AH311" s="547">
        <v>313</v>
      </c>
      <c r="AI311" s="255">
        <f t="shared" si="467"/>
        <v>-23.1</v>
      </c>
    </row>
    <row r="312" spans="1:35">
      <c r="A312" s="92"/>
      <c r="B312" s="3"/>
      <c r="C312" s="101" t="s">
        <v>93</v>
      </c>
      <c r="D312" s="94">
        <v>53</v>
      </c>
      <c r="E312" s="332">
        <v>139</v>
      </c>
      <c r="F312" s="94">
        <v>253</v>
      </c>
      <c r="G312" s="94">
        <v>280</v>
      </c>
      <c r="H312" s="682">
        <v>325</v>
      </c>
      <c r="I312" s="642">
        <v>16</v>
      </c>
      <c r="J312" s="642">
        <v>34</v>
      </c>
      <c r="K312" s="255">
        <f t="shared" si="455"/>
        <v>112.5</v>
      </c>
      <c r="L312" s="386">
        <f t="shared" si="456"/>
        <v>16</v>
      </c>
      <c r="M312" s="547">
        <f t="shared" si="456"/>
        <v>24</v>
      </c>
      <c r="N312" s="255">
        <f>ROUND(((M312/L312-1)*100), 1)</f>
        <v>50</v>
      </c>
      <c r="O312" s="547">
        <v>32</v>
      </c>
      <c r="P312" s="547">
        <v>58</v>
      </c>
      <c r="Q312" s="255">
        <f t="shared" si="457"/>
        <v>81.3</v>
      </c>
      <c r="R312" s="574">
        <f t="shared" si="458"/>
        <v>21</v>
      </c>
      <c r="S312" s="547">
        <f t="shared" si="459"/>
        <v>51</v>
      </c>
      <c r="T312" s="255">
        <f t="shared" si="460"/>
        <v>142.9</v>
      </c>
      <c r="U312" s="481">
        <v>53</v>
      </c>
      <c r="V312" s="478">
        <v>109</v>
      </c>
      <c r="W312" s="255">
        <f t="shared" si="461"/>
        <v>105.7</v>
      </c>
      <c r="X312" s="386">
        <f t="shared" si="462"/>
        <v>31</v>
      </c>
      <c r="Y312" s="547">
        <f t="shared" si="462"/>
        <v>48</v>
      </c>
      <c r="Z312" s="255">
        <f t="shared" si="463"/>
        <v>54.8</v>
      </c>
      <c r="AA312" s="656">
        <v>84</v>
      </c>
      <c r="AB312" s="654">
        <v>157</v>
      </c>
      <c r="AC312" s="255">
        <f t="shared" si="464"/>
        <v>86.9</v>
      </c>
      <c r="AD312" s="386">
        <f t="shared" si="465"/>
        <v>24</v>
      </c>
      <c r="AE312" s="574">
        <f t="shared" si="465"/>
        <v>18</v>
      </c>
      <c r="AF312" s="255">
        <f t="shared" si="466"/>
        <v>-25</v>
      </c>
      <c r="AG312" s="481">
        <v>108</v>
      </c>
      <c r="AH312" s="547">
        <v>175</v>
      </c>
      <c r="AI312" s="255">
        <f t="shared" si="467"/>
        <v>62</v>
      </c>
    </row>
    <row r="313" spans="1:35">
      <c r="A313" s="92"/>
      <c r="B313" s="3"/>
      <c r="C313" s="101" t="s">
        <v>120</v>
      </c>
      <c r="D313" s="94">
        <v>19</v>
      </c>
      <c r="E313" s="332">
        <v>12</v>
      </c>
      <c r="F313" s="94">
        <v>25</v>
      </c>
      <c r="G313" s="94">
        <v>129</v>
      </c>
      <c r="H313" s="682">
        <v>150</v>
      </c>
      <c r="I313" s="642">
        <v>39</v>
      </c>
      <c r="J313" s="642">
        <v>0</v>
      </c>
      <c r="K313" s="541">
        <f t="shared" si="455"/>
        <v>-100</v>
      </c>
      <c r="L313" s="386">
        <f t="shared" si="456"/>
        <v>1</v>
      </c>
      <c r="M313" s="547">
        <f t="shared" si="456"/>
        <v>7</v>
      </c>
      <c r="N313" s="541">
        <f t="shared" ref="N313:N315" si="468">ROUND(((M313/L313-1)*100), 1)</f>
        <v>600</v>
      </c>
      <c r="O313" s="547">
        <v>40</v>
      </c>
      <c r="P313" s="547">
        <v>7</v>
      </c>
      <c r="Q313" s="255">
        <f t="shared" si="457"/>
        <v>-82.5</v>
      </c>
      <c r="R313" s="574">
        <f t="shared" ref="R313:R324" si="469">U313-O313</f>
        <v>21</v>
      </c>
      <c r="S313" s="547">
        <f t="shared" ref="S313:S324" si="470">V313-P313</f>
        <v>0</v>
      </c>
      <c r="T313" s="541">
        <f t="shared" ref="T313:T321" si="471">ROUND(((S313/R313-1)*100), 1)</f>
        <v>-100</v>
      </c>
      <c r="U313" s="481">
        <v>61</v>
      </c>
      <c r="V313" s="478">
        <v>7</v>
      </c>
      <c r="W313" s="255">
        <f t="shared" si="461"/>
        <v>-88.5</v>
      </c>
      <c r="X313" s="574">
        <f t="shared" si="462"/>
        <v>14</v>
      </c>
      <c r="Y313" s="547">
        <f t="shared" si="462"/>
        <v>5</v>
      </c>
      <c r="Z313" s="255">
        <f t="shared" si="463"/>
        <v>-64.3</v>
      </c>
      <c r="AA313" s="656">
        <v>75</v>
      </c>
      <c r="AB313" s="654">
        <v>12</v>
      </c>
      <c r="AC313" s="255">
        <f t="shared" si="464"/>
        <v>-84</v>
      </c>
      <c r="AD313" s="574">
        <f t="shared" ref="AD313:AE324" si="472">AG313-AA313</f>
        <v>4</v>
      </c>
      <c r="AE313" s="574">
        <f t="shared" si="472"/>
        <v>2</v>
      </c>
      <c r="AF313" s="541">
        <f t="shared" ref="AF313:AF317" si="473">ROUND(((AE313/AD313-1)*100), 1)</f>
        <v>-50</v>
      </c>
      <c r="AG313" s="481">
        <v>79</v>
      </c>
      <c r="AH313" s="547">
        <v>14</v>
      </c>
      <c r="AI313" s="255">
        <f t="shared" si="467"/>
        <v>-82.3</v>
      </c>
    </row>
    <row r="314" spans="1:35">
      <c r="A314" s="92"/>
      <c r="B314" s="3"/>
      <c r="C314" s="101" t="s">
        <v>106</v>
      </c>
      <c r="D314" s="94">
        <v>124</v>
      </c>
      <c r="E314" s="332">
        <v>143</v>
      </c>
      <c r="F314" s="94">
        <v>160</v>
      </c>
      <c r="G314" s="94">
        <v>211</v>
      </c>
      <c r="H314" s="682">
        <v>143</v>
      </c>
      <c r="I314" s="642">
        <v>11</v>
      </c>
      <c r="J314" s="642">
        <v>25</v>
      </c>
      <c r="K314" s="541">
        <f t="shared" si="455"/>
        <v>127.3</v>
      </c>
      <c r="L314" s="386">
        <f t="shared" si="456"/>
        <v>18</v>
      </c>
      <c r="M314" s="547">
        <f t="shared" si="456"/>
        <v>16</v>
      </c>
      <c r="N314" s="541">
        <f t="shared" si="468"/>
        <v>-11.1</v>
      </c>
      <c r="O314" s="547">
        <v>29</v>
      </c>
      <c r="P314" s="547">
        <v>41</v>
      </c>
      <c r="Q314" s="255">
        <f t="shared" si="457"/>
        <v>41.4</v>
      </c>
      <c r="R314" s="574">
        <f t="shared" si="469"/>
        <v>5</v>
      </c>
      <c r="S314" s="547">
        <f t="shared" si="470"/>
        <v>19</v>
      </c>
      <c r="T314" s="541">
        <f t="shared" si="471"/>
        <v>280</v>
      </c>
      <c r="U314" s="481">
        <v>34</v>
      </c>
      <c r="V314" s="478">
        <v>60</v>
      </c>
      <c r="W314" s="541">
        <f t="shared" si="461"/>
        <v>76.5</v>
      </c>
      <c r="X314" s="574">
        <f t="shared" si="462"/>
        <v>22</v>
      </c>
      <c r="Y314" s="547">
        <f t="shared" si="462"/>
        <v>37</v>
      </c>
      <c r="Z314" s="255">
        <f t="shared" si="463"/>
        <v>68.2</v>
      </c>
      <c r="AA314" s="656">
        <v>56</v>
      </c>
      <c r="AB314" s="654">
        <v>97</v>
      </c>
      <c r="AC314" s="255">
        <f t="shared" si="464"/>
        <v>73.2</v>
      </c>
      <c r="AD314" s="574">
        <f t="shared" si="472"/>
        <v>22</v>
      </c>
      <c r="AE314" s="574">
        <f t="shared" si="472"/>
        <v>6</v>
      </c>
      <c r="AF314" s="541">
        <f t="shared" si="473"/>
        <v>-72.7</v>
      </c>
      <c r="AG314" s="481">
        <v>78</v>
      </c>
      <c r="AH314" s="547">
        <v>103</v>
      </c>
      <c r="AI314" s="255">
        <f t="shared" si="467"/>
        <v>32.1</v>
      </c>
    </row>
    <row r="315" spans="1:35" s="605" customFormat="1">
      <c r="A315" s="676"/>
      <c r="B315" s="675"/>
      <c r="C315" s="101" t="s">
        <v>543</v>
      </c>
      <c r="D315" s="94">
        <v>0</v>
      </c>
      <c r="E315" s="332">
        <v>0</v>
      </c>
      <c r="F315" s="94">
        <v>0</v>
      </c>
      <c r="G315" s="94">
        <v>1</v>
      </c>
      <c r="H315" s="682">
        <v>131</v>
      </c>
      <c r="I315" s="642">
        <v>0</v>
      </c>
      <c r="J315" s="642">
        <v>0</v>
      </c>
      <c r="K315" s="570">
        <v>0</v>
      </c>
      <c r="L315" s="574">
        <f t="shared" ref="L315:L320" si="474">O315-I315</f>
        <v>23</v>
      </c>
      <c r="M315" s="547">
        <f t="shared" ref="M315:M320" si="475">P315-J315</f>
        <v>11</v>
      </c>
      <c r="N315" s="541">
        <f t="shared" si="468"/>
        <v>-52.2</v>
      </c>
      <c r="O315" s="547">
        <v>23</v>
      </c>
      <c r="P315" s="547">
        <v>11</v>
      </c>
      <c r="Q315" s="541">
        <f>ROUND(((P315/O315-1)*100), 1)</f>
        <v>-52.2</v>
      </c>
      <c r="R315" s="574">
        <f t="shared" si="469"/>
        <v>70</v>
      </c>
      <c r="S315" s="547">
        <f t="shared" si="470"/>
        <v>31</v>
      </c>
      <c r="T315" s="541">
        <f t="shared" si="471"/>
        <v>-55.7</v>
      </c>
      <c r="U315" s="481">
        <v>93</v>
      </c>
      <c r="V315" s="478">
        <v>42</v>
      </c>
      <c r="W315" s="541">
        <f t="shared" si="461"/>
        <v>-54.8</v>
      </c>
      <c r="X315" s="574">
        <f t="shared" si="462"/>
        <v>0</v>
      </c>
      <c r="Y315" s="547">
        <f t="shared" si="462"/>
        <v>0</v>
      </c>
      <c r="Z315" s="570">
        <v>0</v>
      </c>
      <c r="AA315" s="656">
        <v>93</v>
      </c>
      <c r="AB315" s="654">
        <v>42</v>
      </c>
      <c r="AC315" s="541">
        <f>ROUND(((AB315/AA315-1)*100), 1)</f>
        <v>-54.8</v>
      </c>
      <c r="AD315" s="574">
        <f t="shared" si="472"/>
        <v>0</v>
      </c>
      <c r="AE315" s="574">
        <f t="shared" si="472"/>
        <v>0</v>
      </c>
      <c r="AF315" s="570">
        <v>0</v>
      </c>
      <c r="AG315" s="481">
        <v>93</v>
      </c>
      <c r="AH315" s="547">
        <v>42</v>
      </c>
      <c r="AI315" s="541">
        <f t="shared" si="467"/>
        <v>-54.8</v>
      </c>
    </row>
    <row r="316" spans="1:35">
      <c r="A316" s="92"/>
      <c r="B316" s="3"/>
      <c r="C316" s="101" t="s">
        <v>94</v>
      </c>
      <c r="D316" s="94">
        <v>2</v>
      </c>
      <c r="E316" s="332">
        <v>98</v>
      </c>
      <c r="F316" s="94">
        <v>27</v>
      </c>
      <c r="G316" s="94">
        <v>40</v>
      </c>
      <c r="H316" s="682">
        <v>81</v>
      </c>
      <c r="I316" s="642">
        <v>0</v>
      </c>
      <c r="J316" s="642">
        <v>34</v>
      </c>
      <c r="K316" s="570">
        <v>0</v>
      </c>
      <c r="L316" s="574">
        <f t="shared" si="474"/>
        <v>0</v>
      </c>
      <c r="M316" s="547">
        <f t="shared" si="475"/>
        <v>52</v>
      </c>
      <c r="N316" s="570">
        <v>0</v>
      </c>
      <c r="O316" s="547">
        <v>0</v>
      </c>
      <c r="P316" s="547">
        <v>86</v>
      </c>
      <c r="Q316" s="570">
        <v>0</v>
      </c>
      <c r="R316" s="574">
        <f t="shared" si="469"/>
        <v>2</v>
      </c>
      <c r="S316" s="547">
        <f t="shared" si="470"/>
        <v>114</v>
      </c>
      <c r="T316" s="541">
        <f t="shared" si="471"/>
        <v>5600</v>
      </c>
      <c r="U316" s="481">
        <v>2</v>
      </c>
      <c r="V316" s="478">
        <v>200</v>
      </c>
      <c r="W316" s="541">
        <f t="shared" si="461"/>
        <v>9900</v>
      </c>
      <c r="X316" s="574">
        <f t="shared" si="462"/>
        <v>0</v>
      </c>
      <c r="Y316" s="547">
        <f t="shared" si="462"/>
        <v>57</v>
      </c>
      <c r="Z316" s="464">
        <v>0</v>
      </c>
      <c r="AA316" s="656">
        <v>2</v>
      </c>
      <c r="AB316" s="654">
        <v>257</v>
      </c>
      <c r="AC316" s="255">
        <f>ROUND(((AB316/AA316-1)*100), 1)</f>
        <v>12750</v>
      </c>
      <c r="AD316" s="574">
        <f t="shared" si="472"/>
        <v>0</v>
      </c>
      <c r="AE316" s="574">
        <f t="shared" si="472"/>
        <v>64</v>
      </c>
      <c r="AF316" s="570">
        <v>0</v>
      </c>
      <c r="AG316" s="481">
        <v>2</v>
      </c>
      <c r="AH316" s="547">
        <v>321</v>
      </c>
      <c r="AI316" s="541">
        <f t="shared" si="467"/>
        <v>15950</v>
      </c>
    </row>
    <row r="317" spans="1:35">
      <c r="A317" s="92"/>
      <c r="B317" s="3"/>
      <c r="C317" s="101" t="s">
        <v>45</v>
      </c>
      <c r="D317" s="94">
        <v>8</v>
      </c>
      <c r="E317" s="332">
        <v>11</v>
      </c>
      <c r="F317" s="94">
        <v>45</v>
      </c>
      <c r="G317" s="94">
        <v>6</v>
      </c>
      <c r="H317" s="682">
        <v>16</v>
      </c>
      <c r="I317" s="642">
        <v>1</v>
      </c>
      <c r="J317" s="642">
        <v>0</v>
      </c>
      <c r="K317" s="541">
        <f t="shared" si="455"/>
        <v>-100</v>
      </c>
      <c r="L317" s="574">
        <f t="shared" si="474"/>
        <v>0</v>
      </c>
      <c r="M317" s="547">
        <f t="shared" si="475"/>
        <v>0</v>
      </c>
      <c r="N317" s="570">
        <v>0</v>
      </c>
      <c r="O317" s="547">
        <v>1</v>
      </c>
      <c r="P317" s="547">
        <v>0</v>
      </c>
      <c r="Q317" s="541">
        <f>ROUND(((P317/O317-1)*100), 1)</f>
        <v>-100</v>
      </c>
      <c r="R317" s="574">
        <f t="shared" si="469"/>
        <v>2</v>
      </c>
      <c r="S317" s="547">
        <f t="shared" si="470"/>
        <v>0</v>
      </c>
      <c r="T317" s="541">
        <f t="shared" si="471"/>
        <v>-100</v>
      </c>
      <c r="U317" s="481">
        <v>3</v>
      </c>
      <c r="V317" s="478">
        <v>0</v>
      </c>
      <c r="W317" s="541">
        <f t="shared" si="461"/>
        <v>-100</v>
      </c>
      <c r="X317" s="574">
        <f t="shared" si="462"/>
        <v>0</v>
      </c>
      <c r="Y317" s="547">
        <f t="shared" si="462"/>
        <v>0</v>
      </c>
      <c r="Z317" s="464">
        <v>0</v>
      </c>
      <c r="AA317" s="656">
        <v>3</v>
      </c>
      <c r="AB317" s="654">
        <v>0</v>
      </c>
      <c r="AC317" s="541">
        <f>ROUND(((AB317/AA317-1)*100), 1)</f>
        <v>-100</v>
      </c>
      <c r="AD317" s="574">
        <f t="shared" si="472"/>
        <v>10</v>
      </c>
      <c r="AE317" s="574">
        <f t="shared" si="472"/>
        <v>0</v>
      </c>
      <c r="AF317" s="541">
        <f t="shared" si="473"/>
        <v>-100</v>
      </c>
      <c r="AG317" s="481">
        <v>13</v>
      </c>
      <c r="AH317" s="547">
        <v>0</v>
      </c>
      <c r="AI317" s="541">
        <f t="shared" si="467"/>
        <v>-100</v>
      </c>
    </row>
    <row r="318" spans="1:35">
      <c r="A318" s="92"/>
      <c r="B318" s="3"/>
      <c r="C318" s="101" t="s">
        <v>118</v>
      </c>
      <c r="D318" s="94">
        <v>1</v>
      </c>
      <c r="E318" s="332">
        <v>8</v>
      </c>
      <c r="F318" s="94">
        <v>12</v>
      </c>
      <c r="G318" s="94">
        <v>10</v>
      </c>
      <c r="H318" s="682">
        <v>11</v>
      </c>
      <c r="I318" s="642">
        <v>5</v>
      </c>
      <c r="J318" s="642">
        <v>0</v>
      </c>
      <c r="K318" s="541">
        <f t="shared" si="455"/>
        <v>-100</v>
      </c>
      <c r="L318" s="574">
        <f t="shared" si="474"/>
        <v>1</v>
      </c>
      <c r="M318" s="547">
        <f t="shared" si="475"/>
        <v>0</v>
      </c>
      <c r="N318" s="541">
        <f t="shared" ref="N318:N319" si="476">ROUND(((M318/L318-1)*100), 1)</f>
        <v>-100</v>
      </c>
      <c r="O318" s="547">
        <v>6</v>
      </c>
      <c r="P318" s="547">
        <v>0</v>
      </c>
      <c r="Q318" s="541">
        <f>ROUND(((P318/O318-1)*100), 1)</f>
        <v>-100</v>
      </c>
      <c r="R318" s="574">
        <f t="shared" si="469"/>
        <v>1</v>
      </c>
      <c r="S318" s="547">
        <f t="shared" si="470"/>
        <v>2</v>
      </c>
      <c r="T318" s="541">
        <f t="shared" si="471"/>
        <v>100</v>
      </c>
      <c r="U318" s="481">
        <v>7</v>
      </c>
      <c r="V318" s="478">
        <v>2</v>
      </c>
      <c r="W318" s="541">
        <f t="shared" si="461"/>
        <v>-71.400000000000006</v>
      </c>
      <c r="X318" s="574">
        <f t="shared" si="462"/>
        <v>0</v>
      </c>
      <c r="Y318" s="547">
        <f t="shared" si="462"/>
        <v>0</v>
      </c>
      <c r="Z318" s="464">
        <v>0</v>
      </c>
      <c r="AA318" s="656">
        <v>7</v>
      </c>
      <c r="AB318" s="654">
        <v>2</v>
      </c>
      <c r="AC318" s="541">
        <f>ROUND(((AB318/AA318-1)*100), 1)</f>
        <v>-71.400000000000006</v>
      </c>
      <c r="AD318" s="574">
        <f t="shared" si="472"/>
        <v>0</v>
      </c>
      <c r="AE318" s="574">
        <f t="shared" si="472"/>
        <v>0</v>
      </c>
      <c r="AF318" s="570">
        <v>0</v>
      </c>
      <c r="AG318" s="481">
        <v>7</v>
      </c>
      <c r="AH318" s="547">
        <v>2</v>
      </c>
      <c r="AI318" s="541">
        <f t="shared" si="467"/>
        <v>-71.400000000000006</v>
      </c>
    </row>
    <row r="319" spans="1:35">
      <c r="A319" s="92"/>
      <c r="B319" s="3"/>
      <c r="C319" s="101" t="s">
        <v>91</v>
      </c>
      <c r="D319" s="94">
        <v>24</v>
      </c>
      <c r="E319" s="332">
        <v>0</v>
      </c>
      <c r="F319" s="94">
        <v>0</v>
      </c>
      <c r="G319" s="94">
        <v>0</v>
      </c>
      <c r="H319" s="682">
        <v>5</v>
      </c>
      <c r="I319" s="642">
        <v>0</v>
      </c>
      <c r="J319" s="642">
        <v>0</v>
      </c>
      <c r="K319" s="570">
        <v>0</v>
      </c>
      <c r="L319" s="574">
        <f t="shared" si="474"/>
        <v>1</v>
      </c>
      <c r="M319" s="547">
        <f t="shared" si="475"/>
        <v>0</v>
      </c>
      <c r="N319" s="541">
        <f t="shared" si="476"/>
        <v>-100</v>
      </c>
      <c r="O319" s="547">
        <v>1</v>
      </c>
      <c r="P319" s="547">
        <v>0</v>
      </c>
      <c r="Q319" s="541">
        <f>ROUND(((P319/O319-1)*100), 1)</f>
        <v>-100</v>
      </c>
      <c r="R319" s="574">
        <f t="shared" si="469"/>
        <v>0</v>
      </c>
      <c r="S319" s="547">
        <f t="shared" si="470"/>
        <v>4</v>
      </c>
      <c r="T319" s="570">
        <v>0</v>
      </c>
      <c r="U319" s="481">
        <v>1</v>
      </c>
      <c r="V319" s="478">
        <v>4</v>
      </c>
      <c r="W319" s="541">
        <f t="shared" si="461"/>
        <v>300</v>
      </c>
      <c r="X319" s="574">
        <f t="shared" si="462"/>
        <v>0</v>
      </c>
      <c r="Y319" s="547">
        <f t="shared" si="462"/>
        <v>0</v>
      </c>
      <c r="Z319" s="464">
        <v>0</v>
      </c>
      <c r="AA319" s="656">
        <v>1</v>
      </c>
      <c r="AB319" s="654">
        <v>4</v>
      </c>
      <c r="AC319" s="541">
        <f>ROUND(((AB319/AA319-1)*100), 1)</f>
        <v>300</v>
      </c>
      <c r="AD319" s="574">
        <f t="shared" si="472"/>
        <v>0</v>
      </c>
      <c r="AE319" s="574">
        <f t="shared" si="472"/>
        <v>0</v>
      </c>
      <c r="AF319" s="570">
        <v>0</v>
      </c>
      <c r="AG319" s="481">
        <v>1</v>
      </c>
      <c r="AH319" s="547">
        <v>4</v>
      </c>
      <c r="AI319" s="541">
        <f t="shared" si="467"/>
        <v>300</v>
      </c>
    </row>
    <row r="320" spans="1:35">
      <c r="A320" s="92"/>
      <c r="B320" s="3"/>
      <c r="C320" s="101" t="s">
        <v>98</v>
      </c>
      <c r="D320" s="94">
        <v>15</v>
      </c>
      <c r="E320" s="332">
        <v>0</v>
      </c>
      <c r="F320" s="94">
        <v>0</v>
      </c>
      <c r="G320" s="94">
        <v>2</v>
      </c>
      <c r="H320" s="682">
        <v>3</v>
      </c>
      <c r="I320" s="642">
        <v>0</v>
      </c>
      <c r="J320" s="642">
        <v>5</v>
      </c>
      <c r="K320" s="570">
        <v>0</v>
      </c>
      <c r="L320" s="574">
        <f t="shared" si="474"/>
        <v>0</v>
      </c>
      <c r="M320" s="547">
        <f t="shared" si="475"/>
        <v>0</v>
      </c>
      <c r="N320" s="570">
        <v>0</v>
      </c>
      <c r="O320" s="547">
        <v>0</v>
      </c>
      <c r="P320" s="547">
        <v>5</v>
      </c>
      <c r="Q320" s="570">
        <v>0</v>
      </c>
      <c r="R320" s="574">
        <f t="shared" si="469"/>
        <v>0</v>
      </c>
      <c r="S320" s="547">
        <f t="shared" si="470"/>
        <v>0</v>
      </c>
      <c r="T320" s="570">
        <v>0</v>
      </c>
      <c r="U320" s="481">
        <v>0</v>
      </c>
      <c r="V320" s="478">
        <v>5</v>
      </c>
      <c r="W320" s="570">
        <v>0</v>
      </c>
      <c r="X320" s="574">
        <f t="shared" si="462"/>
        <v>0</v>
      </c>
      <c r="Y320" s="547">
        <f t="shared" si="462"/>
        <v>0</v>
      </c>
      <c r="Z320" s="464">
        <v>0</v>
      </c>
      <c r="AA320" s="656">
        <v>0</v>
      </c>
      <c r="AB320" s="654">
        <v>5</v>
      </c>
      <c r="AC320" s="570">
        <v>0</v>
      </c>
      <c r="AD320" s="574">
        <f t="shared" si="472"/>
        <v>0</v>
      </c>
      <c r="AE320" s="574">
        <f t="shared" si="472"/>
        <v>0</v>
      </c>
      <c r="AF320" s="570">
        <v>0</v>
      </c>
      <c r="AG320" s="481">
        <v>0</v>
      </c>
      <c r="AH320" s="547">
        <v>5</v>
      </c>
      <c r="AI320" s="570">
        <v>0</v>
      </c>
    </row>
    <row r="321" spans="1:35">
      <c r="A321" s="92"/>
      <c r="B321" s="3"/>
      <c r="C321" s="101" t="s">
        <v>115</v>
      </c>
      <c r="D321" s="94">
        <v>66</v>
      </c>
      <c r="E321" s="332">
        <v>1</v>
      </c>
      <c r="F321" s="94">
        <v>1</v>
      </c>
      <c r="G321" s="94">
        <v>1</v>
      </c>
      <c r="H321" s="682">
        <v>3</v>
      </c>
      <c r="I321" s="642">
        <v>0</v>
      </c>
      <c r="J321" s="642">
        <v>0</v>
      </c>
      <c r="K321" s="570">
        <v>0</v>
      </c>
      <c r="L321" s="386">
        <f t="shared" ref="L321:M324" si="477">O321-I321</f>
        <v>0</v>
      </c>
      <c r="M321" s="547">
        <f t="shared" si="477"/>
        <v>0</v>
      </c>
      <c r="N321" s="173">
        <v>0</v>
      </c>
      <c r="O321" s="547">
        <v>0</v>
      </c>
      <c r="P321" s="547">
        <v>0</v>
      </c>
      <c r="Q321" s="173">
        <v>0</v>
      </c>
      <c r="R321" s="574">
        <f t="shared" si="469"/>
        <v>1</v>
      </c>
      <c r="S321" s="547">
        <f t="shared" si="470"/>
        <v>0</v>
      </c>
      <c r="T321" s="541">
        <f t="shared" si="471"/>
        <v>-100</v>
      </c>
      <c r="U321" s="481">
        <v>1</v>
      </c>
      <c r="V321" s="478">
        <v>0</v>
      </c>
      <c r="W321" s="541">
        <f t="shared" si="461"/>
        <v>-100</v>
      </c>
      <c r="X321" s="386">
        <f t="shared" ref="X321:X324" si="478">AA321-U321</f>
        <v>0</v>
      </c>
      <c r="Y321" s="547">
        <f t="shared" si="462"/>
        <v>0</v>
      </c>
      <c r="Z321" s="464">
        <v>0</v>
      </c>
      <c r="AA321" s="656">
        <v>1</v>
      </c>
      <c r="AB321" s="654">
        <v>0</v>
      </c>
      <c r="AC321" s="541">
        <f>ROUND(((AB321/AA321-1)*100), 1)</f>
        <v>-100</v>
      </c>
      <c r="AD321" s="574">
        <f t="shared" si="472"/>
        <v>0</v>
      </c>
      <c r="AE321" s="574">
        <f t="shared" si="472"/>
        <v>1</v>
      </c>
      <c r="AF321" s="570">
        <v>0</v>
      </c>
      <c r="AG321" s="481">
        <v>1</v>
      </c>
      <c r="AH321" s="547">
        <v>1</v>
      </c>
      <c r="AI321" s="541">
        <f t="shared" si="467"/>
        <v>0</v>
      </c>
    </row>
    <row r="322" spans="1:35">
      <c r="A322" s="92"/>
      <c r="B322" s="3"/>
      <c r="C322" s="101" t="s">
        <v>49</v>
      </c>
      <c r="D322" s="94">
        <v>136</v>
      </c>
      <c r="E322" s="332">
        <v>56</v>
      </c>
      <c r="F322" s="94">
        <v>2</v>
      </c>
      <c r="G322" s="94">
        <v>3</v>
      </c>
      <c r="H322" s="682">
        <v>3</v>
      </c>
      <c r="I322" s="642">
        <v>0</v>
      </c>
      <c r="J322" s="642">
        <v>0</v>
      </c>
      <c r="K322" s="570">
        <v>0</v>
      </c>
      <c r="L322" s="386">
        <f t="shared" si="477"/>
        <v>0</v>
      </c>
      <c r="M322" s="547">
        <f t="shared" si="477"/>
        <v>0</v>
      </c>
      <c r="N322" s="173">
        <v>0</v>
      </c>
      <c r="O322" s="547">
        <v>0</v>
      </c>
      <c r="P322" s="547">
        <v>0</v>
      </c>
      <c r="Q322" s="570">
        <v>0</v>
      </c>
      <c r="R322" s="574">
        <f t="shared" si="469"/>
        <v>0</v>
      </c>
      <c r="S322" s="547">
        <f t="shared" si="470"/>
        <v>0</v>
      </c>
      <c r="T322" s="570">
        <v>0</v>
      </c>
      <c r="U322" s="481">
        <v>0</v>
      </c>
      <c r="V322" s="478">
        <v>0</v>
      </c>
      <c r="W322" s="570">
        <v>0</v>
      </c>
      <c r="X322" s="386">
        <f t="shared" si="478"/>
        <v>0</v>
      </c>
      <c r="Y322" s="547">
        <f t="shared" si="462"/>
        <v>0</v>
      </c>
      <c r="Z322" s="464">
        <v>0</v>
      </c>
      <c r="AA322" s="656">
        <v>0</v>
      </c>
      <c r="AB322" s="654">
        <v>0</v>
      </c>
      <c r="AC322" s="570">
        <v>0</v>
      </c>
      <c r="AD322" s="574">
        <f t="shared" si="472"/>
        <v>0</v>
      </c>
      <c r="AE322" s="574">
        <f t="shared" si="472"/>
        <v>0</v>
      </c>
      <c r="AF322" s="570">
        <v>0</v>
      </c>
      <c r="AG322" s="481">
        <v>0</v>
      </c>
      <c r="AH322" s="547">
        <v>0</v>
      </c>
      <c r="AI322" s="570">
        <v>0</v>
      </c>
    </row>
    <row r="323" spans="1:35">
      <c r="A323" s="92"/>
      <c r="B323" s="3"/>
      <c r="C323" s="101" t="s">
        <v>227</v>
      </c>
      <c r="D323" s="94">
        <v>263</v>
      </c>
      <c r="E323" s="332">
        <v>185</v>
      </c>
      <c r="F323" s="94">
        <v>35</v>
      </c>
      <c r="G323" s="94">
        <v>0</v>
      </c>
      <c r="H323" s="682">
        <v>0</v>
      </c>
      <c r="I323" s="642">
        <v>0</v>
      </c>
      <c r="J323" s="642">
        <v>0</v>
      </c>
      <c r="K323" s="570">
        <v>0</v>
      </c>
      <c r="L323" s="386">
        <f t="shared" si="477"/>
        <v>0</v>
      </c>
      <c r="M323" s="547">
        <f t="shared" si="477"/>
        <v>0</v>
      </c>
      <c r="N323" s="173">
        <v>0</v>
      </c>
      <c r="O323" s="547">
        <v>0</v>
      </c>
      <c r="P323" s="547">
        <v>0</v>
      </c>
      <c r="Q323" s="173">
        <v>0</v>
      </c>
      <c r="R323" s="574">
        <f t="shared" si="469"/>
        <v>0</v>
      </c>
      <c r="S323" s="547">
        <f t="shared" si="470"/>
        <v>0</v>
      </c>
      <c r="T323" s="570">
        <v>0</v>
      </c>
      <c r="U323" s="481">
        <v>0</v>
      </c>
      <c r="V323" s="478">
        <v>0</v>
      </c>
      <c r="W323" s="570">
        <v>0</v>
      </c>
      <c r="X323" s="386">
        <f t="shared" si="478"/>
        <v>0</v>
      </c>
      <c r="Y323" s="547">
        <f t="shared" si="462"/>
        <v>0</v>
      </c>
      <c r="Z323" s="464">
        <v>0</v>
      </c>
      <c r="AA323" s="656">
        <v>0</v>
      </c>
      <c r="AB323" s="654">
        <v>0</v>
      </c>
      <c r="AC323" s="464">
        <v>0</v>
      </c>
      <c r="AD323" s="574">
        <f t="shared" si="472"/>
        <v>0</v>
      </c>
      <c r="AE323" s="574">
        <f t="shared" si="472"/>
        <v>0</v>
      </c>
      <c r="AF323" s="570">
        <v>0</v>
      </c>
      <c r="AG323" s="481">
        <v>0</v>
      </c>
      <c r="AH323" s="547">
        <v>0</v>
      </c>
      <c r="AI323" s="464">
        <v>0</v>
      </c>
    </row>
    <row r="324" spans="1:35">
      <c r="A324" s="92"/>
      <c r="B324" s="3"/>
      <c r="C324" s="101" t="s">
        <v>136</v>
      </c>
      <c r="D324" s="94">
        <v>191</v>
      </c>
      <c r="E324" s="332">
        <v>129</v>
      </c>
      <c r="F324" s="94">
        <v>0</v>
      </c>
      <c r="G324" s="94">
        <v>0</v>
      </c>
      <c r="H324" s="682">
        <v>0</v>
      </c>
      <c r="I324" s="642">
        <v>0</v>
      </c>
      <c r="J324" s="642">
        <v>0</v>
      </c>
      <c r="K324" s="570">
        <v>0</v>
      </c>
      <c r="L324" s="386">
        <f t="shared" si="477"/>
        <v>0</v>
      </c>
      <c r="M324" s="547">
        <f t="shared" si="477"/>
        <v>0</v>
      </c>
      <c r="N324" s="173">
        <v>0</v>
      </c>
      <c r="O324" s="547">
        <v>0</v>
      </c>
      <c r="P324" s="547">
        <v>0</v>
      </c>
      <c r="Q324" s="173">
        <v>0</v>
      </c>
      <c r="R324" s="574">
        <f t="shared" si="469"/>
        <v>0</v>
      </c>
      <c r="S324" s="547">
        <f t="shared" si="470"/>
        <v>0</v>
      </c>
      <c r="T324" s="570">
        <v>0</v>
      </c>
      <c r="U324" s="481">
        <v>0</v>
      </c>
      <c r="V324" s="478">
        <v>0</v>
      </c>
      <c r="W324" s="570">
        <v>0</v>
      </c>
      <c r="X324" s="386">
        <f t="shared" si="478"/>
        <v>0</v>
      </c>
      <c r="Y324" s="547">
        <f t="shared" si="462"/>
        <v>0</v>
      </c>
      <c r="Z324" s="464">
        <v>0</v>
      </c>
      <c r="AA324" s="656">
        <v>0</v>
      </c>
      <c r="AB324" s="654">
        <v>0</v>
      </c>
      <c r="AC324" s="464">
        <v>0</v>
      </c>
      <c r="AD324" s="574">
        <f t="shared" si="472"/>
        <v>0</v>
      </c>
      <c r="AE324" s="574">
        <f t="shared" si="472"/>
        <v>0</v>
      </c>
      <c r="AF324" s="570">
        <v>0</v>
      </c>
      <c r="AG324" s="481">
        <v>0</v>
      </c>
      <c r="AH324" s="547">
        <v>0</v>
      </c>
      <c r="AI324" s="464">
        <v>0</v>
      </c>
    </row>
    <row r="325" spans="1:35">
      <c r="A325" s="92"/>
      <c r="B325" s="3"/>
      <c r="C325" s="101" t="s">
        <v>75</v>
      </c>
      <c r="D325" s="94">
        <f t="shared" ref="D325:J325" si="479">D326-SUM(D309:D324)</f>
        <v>70</v>
      </c>
      <c r="E325" s="94">
        <f t="shared" si="479"/>
        <v>56</v>
      </c>
      <c r="F325" s="94">
        <f t="shared" si="479"/>
        <v>34</v>
      </c>
      <c r="G325" s="94">
        <f t="shared" si="479"/>
        <v>42</v>
      </c>
      <c r="H325" s="682">
        <f t="shared" si="479"/>
        <v>140</v>
      </c>
      <c r="I325" s="642">
        <f t="shared" si="479"/>
        <v>2</v>
      </c>
      <c r="J325" s="642">
        <f t="shared" si="479"/>
        <v>1</v>
      </c>
      <c r="K325" s="560">
        <f t="shared" si="455"/>
        <v>-50</v>
      </c>
      <c r="L325" s="386">
        <f>L326-SUM(L309:L324)</f>
        <v>0</v>
      </c>
      <c r="M325" s="547">
        <f>M326-SUM(M309:M324)</f>
        <v>1</v>
      </c>
      <c r="N325" s="276">
        <v>0</v>
      </c>
      <c r="O325" s="547">
        <f>O326-SUM(O309:O324)</f>
        <v>2</v>
      </c>
      <c r="P325" s="547">
        <f>P326-SUM(P309:P324)</f>
        <v>2</v>
      </c>
      <c r="Q325" s="560">
        <f>ROUND(((P325/O325-1)*100), 1)</f>
        <v>0</v>
      </c>
      <c r="R325" s="574">
        <f>R326-SUM(R309:R324)</f>
        <v>1</v>
      </c>
      <c r="S325" s="547">
        <f>S326-SUM(S309:S324)</f>
        <v>20</v>
      </c>
      <c r="T325" s="255">
        <f t="shared" ref="T325" si="480">ROUND(((S325/R325-1)*100), 1)</f>
        <v>1900</v>
      </c>
      <c r="U325" s="547">
        <f>U326-SUM(U309:U324)</f>
        <v>3</v>
      </c>
      <c r="V325" s="547">
        <f>V326-SUM(V309:V324)</f>
        <v>22</v>
      </c>
      <c r="W325" s="255">
        <f t="shared" ref="W325" si="481">ROUND(((V325/U325-1)*100), 1)</f>
        <v>633.29999999999995</v>
      </c>
      <c r="X325" s="386">
        <f>X326-SUM(X309:X324)</f>
        <v>52</v>
      </c>
      <c r="Y325" s="547">
        <f>Y326-SUM(Y309:Y324)</f>
        <v>9</v>
      </c>
      <c r="Z325" s="255">
        <f t="shared" ref="Z325:Z326" si="482">ROUND(((Y325/X325-1)*100), 1)</f>
        <v>-82.7</v>
      </c>
      <c r="AA325" s="642">
        <f>AA326-SUM(AA309:AA324)</f>
        <v>55</v>
      </c>
      <c r="AB325" s="642">
        <f>AB326-SUM(AB309:AB324)</f>
        <v>31</v>
      </c>
      <c r="AC325" s="255">
        <f t="shared" ref="AC325:AC326" si="483">ROUND(((AB325/AA325-1)*100), 1)</f>
        <v>-43.6</v>
      </c>
      <c r="AD325" s="386">
        <f>AD326-SUM(AD309:AD324)</f>
        <v>10</v>
      </c>
      <c r="AE325" s="574">
        <f>AE326-SUM(AE309:AE324)</f>
        <v>26</v>
      </c>
      <c r="AF325" s="541">
        <f t="shared" ref="AF325" si="484">ROUND(((AE325/AD325-1)*100), 1)</f>
        <v>160</v>
      </c>
      <c r="AG325" s="478">
        <f>AG326-SUM(AG309:AG324)</f>
        <v>65</v>
      </c>
      <c r="AH325" s="547">
        <f>AH326-SUM(AH309:AH324)</f>
        <v>57</v>
      </c>
      <c r="AI325" s="255">
        <f t="shared" ref="AI325:AI326" si="485">ROUND(((AH325/AG325-1)*100), 1)</f>
        <v>-12.3</v>
      </c>
    </row>
    <row r="326" spans="1:35">
      <c r="A326" s="92"/>
      <c r="B326" s="8"/>
      <c r="C326" s="41" t="s">
        <v>216</v>
      </c>
      <c r="D326" s="95">
        <v>41364</v>
      </c>
      <c r="E326" s="95">
        <v>49996</v>
      </c>
      <c r="F326" s="95">
        <v>63767</v>
      </c>
      <c r="G326" s="95">
        <v>63116</v>
      </c>
      <c r="H326" s="683">
        <v>66181</v>
      </c>
      <c r="I326" s="644">
        <v>5386</v>
      </c>
      <c r="J326" s="644">
        <v>5367</v>
      </c>
      <c r="K326" s="256">
        <f>ROUND(((J326/I326-1)*100), 1)</f>
        <v>-0.4</v>
      </c>
      <c r="L326" s="381">
        <f t="shared" ref="L326:M326" si="486">O326-I326</f>
        <v>4213</v>
      </c>
      <c r="M326" s="548">
        <f t="shared" si="486"/>
        <v>6179</v>
      </c>
      <c r="N326" s="256">
        <f t="shared" ref="N326" si="487">ROUND(((M326/L326-1)*100), 1)</f>
        <v>46.7</v>
      </c>
      <c r="O326" s="548">
        <v>9599</v>
      </c>
      <c r="P326" s="548">
        <v>11546</v>
      </c>
      <c r="Q326" s="256">
        <f t="shared" ref="Q326" si="488">ROUND(((P326/O326-1)*100), 1)</f>
        <v>20.3</v>
      </c>
      <c r="R326" s="554">
        <f t="shared" ref="R326:R329" si="489">U326-O326</f>
        <v>6491</v>
      </c>
      <c r="S326" s="548">
        <f t="shared" ref="S326:S329" si="490">V326-P326</f>
        <v>7985</v>
      </c>
      <c r="T326" s="256">
        <f t="shared" ref="T326" si="491">ROUND(((S326/R326-1)*100), 1)</f>
        <v>23</v>
      </c>
      <c r="U326" s="548">
        <v>16090</v>
      </c>
      <c r="V326" s="548">
        <v>19531</v>
      </c>
      <c r="W326" s="256">
        <f t="shared" ref="W326" si="492">ROUND(((V326/U326-1)*100), 1)</f>
        <v>21.4</v>
      </c>
      <c r="X326" s="381">
        <f t="shared" ref="X326:Y341" si="493">AA326-U326</f>
        <v>5234</v>
      </c>
      <c r="Y326" s="548">
        <f t="shared" si="493"/>
        <v>7105</v>
      </c>
      <c r="Z326" s="256">
        <f t="shared" si="482"/>
        <v>35.700000000000003</v>
      </c>
      <c r="AA326" s="644">
        <v>21324</v>
      </c>
      <c r="AB326" s="644">
        <v>26636</v>
      </c>
      <c r="AC326" s="256">
        <f t="shared" si="483"/>
        <v>24.9</v>
      </c>
      <c r="AD326" s="381">
        <f t="shared" ref="AD326:AE326" si="494">AG326-AA326</f>
        <v>4642</v>
      </c>
      <c r="AE326" s="554">
        <f t="shared" si="494"/>
        <v>6894</v>
      </c>
      <c r="AF326" s="256">
        <f t="shared" ref="AF326" si="495">ROUND(((AE326/AD326-1)*100), 1)</f>
        <v>48.5</v>
      </c>
      <c r="AG326" s="479">
        <v>25966</v>
      </c>
      <c r="AH326" s="548">
        <v>33530</v>
      </c>
      <c r="AI326" s="256">
        <f t="shared" si="485"/>
        <v>29.1</v>
      </c>
    </row>
    <row r="327" spans="1:35">
      <c r="A327" s="92"/>
      <c r="B327" s="3" t="s">
        <v>220</v>
      </c>
      <c r="C327" s="101" t="s">
        <v>89</v>
      </c>
      <c r="D327" s="94">
        <v>2731</v>
      </c>
      <c r="E327" s="94">
        <v>3021</v>
      </c>
      <c r="F327" s="94">
        <v>3624</v>
      </c>
      <c r="G327" s="94">
        <v>3718</v>
      </c>
      <c r="H327" s="682">
        <v>4309</v>
      </c>
      <c r="I327" s="642">
        <v>446</v>
      </c>
      <c r="J327" s="642">
        <v>371</v>
      </c>
      <c r="K327" s="255">
        <f>ROUND(((J327/I327-1)*100), 1)</f>
        <v>-16.8</v>
      </c>
      <c r="L327" s="386">
        <f t="shared" ref="L327:M338" si="496">O327-I327</f>
        <v>112</v>
      </c>
      <c r="M327" s="547">
        <f t="shared" si="496"/>
        <v>249</v>
      </c>
      <c r="N327" s="255">
        <f>ROUND(((M327/L327-1)*100), 1)</f>
        <v>122.3</v>
      </c>
      <c r="O327" s="547">
        <v>558</v>
      </c>
      <c r="P327" s="547">
        <v>620</v>
      </c>
      <c r="Q327" s="255">
        <f>ROUND(((P327/O327-1)*100), 1)</f>
        <v>11.1</v>
      </c>
      <c r="R327" s="574">
        <f t="shared" si="489"/>
        <v>532</v>
      </c>
      <c r="S327" s="547">
        <f t="shared" si="490"/>
        <v>339</v>
      </c>
      <c r="T327" s="255">
        <f t="shared" ref="T327:T329" si="497">ROUND(((S327/R327-1)*100), 1)</f>
        <v>-36.299999999999997</v>
      </c>
      <c r="U327" s="547">
        <v>1090</v>
      </c>
      <c r="V327" s="547">
        <v>959</v>
      </c>
      <c r="W327" s="255">
        <f t="shared" ref="W327:W337" si="498">ROUND(((V327/U327-1)*100), 1)</f>
        <v>-12</v>
      </c>
      <c r="X327" s="386">
        <f t="shared" ref="X327:X337" si="499">AA327-U327</f>
        <v>349</v>
      </c>
      <c r="Y327" s="547">
        <f t="shared" si="493"/>
        <v>266</v>
      </c>
      <c r="Z327" s="255">
        <f t="shared" ref="Z327:Z332" si="500">ROUND(((Y327/X327-1)*100), 1)</f>
        <v>-23.8</v>
      </c>
      <c r="AA327" s="642">
        <v>1439</v>
      </c>
      <c r="AB327" s="642">
        <v>1225</v>
      </c>
      <c r="AC327" s="255">
        <f t="shared" ref="AC327:AC337" si="501">ROUND(((AB327/AA327-1)*100), 1)</f>
        <v>-14.9</v>
      </c>
      <c r="AD327" s="386">
        <f t="shared" ref="AD327:AE329" si="502">AG327-AA327</f>
        <v>386</v>
      </c>
      <c r="AE327" s="574">
        <f t="shared" si="502"/>
        <v>340</v>
      </c>
      <c r="AF327" s="255">
        <f>ROUND(((AE327/AD327-1)*100), 1)</f>
        <v>-11.9</v>
      </c>
      <c r="AG327" s="478">
        <v>1825</v>
      </c>
      <c r="AH327" s="547">
        <v>1565</v>
      </c>
      <c r="AI327" s="255">
        <f t="shared" ref="AI327:AI338" si="503">ROUND(((AH327/AG327-1)*100), 1)</f>
        <v>-14.2</v>
      </c>
    </row>
    <row r="328" spans="1:35">
      <c r="A328" s="92"/>
      <c r="B328" s="3" t="s">
        <v>223</v>
      </c>
      <c r="C328" s="101" t="s">
        <v>99</v>
      </c>
      <c r="D328" s="94">
        <v>591</v>
      </c>
      <c r="E328" s="94">
        <v>564</v>
      </c>
      <c r="F328" s="94">
        <v>629</v>
      </c>
      <c r="G328" s="94">
        <v>765</v>
      </c>
      <c r="H328" s="682">
        <v>816</v>
      </c>
      <c r="I328" s="642">
        <v>53</v>
      </c>
      <c r="J328" s="642">
        <v>81</v>
      </c>
      <c r="K328" s="255">
        <f>ROUND(((J328/I328-1)*100), 1)</f>
        <v>52.8</v>
      </c>
      <c r="L328" s="386">
        <f t="shared" si="496"/>
        <v>74</v>
      </c>
      <c r="M328" s="547">
        <f t="shared" si="496"/>
        <v>79</v>
      </c>
      <c r="N328" s="255">
        <f>ROUND(((M328/L328-1)*100), 1)</f>
        <v>6.8</v>
      </c>
      <c r="O328" s="547">
        <v>127</v>
      </c>
      <c r="P328" s="547">
        <v>160</v>
      </c>
      <c r="Q328" s="255">
        <f>ROUND(((P328/O328-1)*100), 1)</f>
        <v>26</v>
      </c>
      <c r="R328" s="574">
        <f t="shared" si="489"/>
        <v>63</v>
      </c>
      <c r="S328" s="547">
        <f t="shared" si="490"/>
        <v>101</v>
      </c>
      <c r="T328" s="255">
        <f t="shared" si="497"/>
        <v>60.3</v>
      </c>
      <c r="U328" s="547">
        <v>190</v>
      </c>
      <c r="V328" s="547">
        <v>261</v>
      </c>
      <c r="W328" s="255">
        <f t="shared" si="498"/>
        <v>37.4</v>
      </c>
      <c r="X328" s="386">
        <f t="shared" si="499"/>
        <v>60</v>
      </c>
      <c r="Y328" s="547">
        <f t="shared" si="493"/>
        <v>67</v>
      </c>
      <c r="Z328" s="255">
        <f t="shared" si="500"/>
        <v>11.7</v>
      </c>
      <c r="AA328" s="642">
        <v>250</v>
      </c>
      <c r="AB328" s="642">
        <v>328</v>
      </c>
      <c r="AC328" s="255">
        <f t="shared" si="501"/>
        <v>31.2</v>
      </c>
      <c r="AD328" s="386">
        <f t="shared" si="502"/>
        <v>63</v>
      </c>
      <c r="AE328" s="574">
        <f t="shared" si="502"/>
        <v>103</v>
      </c>
      <c r="AF328" s="255">
        <f>ROUND(((AE328/AD328-1)*100), 1)</f>
        <v>63.5</v>
      </c>
      <c r="AG328" s="478">
        <v>313</v>
      </c>
      <c r="AH328" s="547">
        <v>431</v>
      </c>
      <c r="AI328" s="255">
        <f t="shared" si="503"/>
        <v>37.700000000000003</v>
      </c>
    </row>
    <row r="329" spans="1:35">
      <c r="A329" s="92"/>
      <c r="B329" s="3"/>
      <c r="C329" s="101" t="s">
        <v>109</v>
      </c>
      <c r="D329" s="94">
        <v>233</v>
      </c>
      <c r="E329" s="94">
        <v>300</v>
      </c>
      <c r="F329" s="94">
        <v>331</v>
      </c>
      <c r="G329" s="94">
        <v>380</v>
      </c>
      <c r="H329" s="682">
        <v>368</v>
      </c>
      <c r="I329" s="642">
        <v>25</v>
      </c>
      <c r="J329" s="642">
        <v>12</v>
      </c>
      <c r="K329" s="255">
        <f>ROUND(((J329/I329-1)*100), 1)</f>
        <v>-52</v>
      </c>
      <c r="L329" s="386">
        <f t="shared" si="496"/>
        <v>44</v>
      </c>
      <c r="M329" s="547">
        <f t="shared" si="496"/>
        <v>27</v>
      </c>
      <c r="N329" s="255">
        <f>ROUND(((M329/L329-1)*100), 1)</f>
        <v>-38.6</v>
      </c>
      <c r="O329" s="547">
        <v>69</v>
      </c>
      <c r="P329" s="547">
        <v>39</v>
      </c>
      <c r="Q329" s="255">
        <f>ROUND(((P329/O329-1)*100), 1)</f>
        <v>-43.5</v>
      </c>
      <c r="R329" s="574">
        <f t="shared" si="489"/>
        <v>25</v>
      </c>
      <c r="S329" s="547">
        <f t="shared" si="490"/>
        <v>33</v>
      </c>
      <c r="T329" s="255">
        <f t="shared" si="497"/>
        <v>32</v>
      </c>
      <c r="U329" s="547">
        <v>94</v>
      </c>
      <c r="V329" s="547">
        <v>72</v>
      </c>
      <c r="W329" s="255">
        <f t="shared" si="498"/>
        <v>-23.4</v>
      </c>
      <c r="X329" s="386">
        <f t="shared" si="499"/>
        <v>49</v>
      </c>
      <c r="Y329" s="547">
        <f t="shared" si="493"/>
        <v>36</v>
      </c>
      <c r="Z329" s="255">
        <f t="shared" si="500"/>
        <v>-26.5</v>
      </c>
      <c r="AA329" s="642">
        <v>143</v>
      </c>
      <c r="AB329" s="642">
        <v>108</v>
      </c>
      <c r="AC329" s="255">
        <f t="shared" si="501"/>
        <v>-24.5</v>
      </c>
      <c r="AD329" s="386">
        <f t="shared" si="502"/>
        <v>38</v>
      </c>
      <c r="AE329" s="574">
        <f t="shared" si="502"/>
        <v>7</v>
      </c>
      <c r="AF329" s="255">
        <f>ROUND(((AE329/AD329-1)*100), 1)</f>
        <v>-81.599999999999994</v>
      </c>
      <c r="AG329" s="478">
        <v>181</v>
      </c>
      <c r="AH329" s="547">
        <v>115</v>
      </c>
      <c r="AI329" s="255">
        <f t="shared" si="503"/>
        <v>-36.5</v>
      </c>
    </row>
    <row r="330" spans="1:35">
      <c r="A330" s="92"/>
      <c r="B330" s="3"/>
      <c r="C330" s="101" t="s">
        <v>49</v>
      </c>
      <c r="D330" s="94">
        <v>777</v>
      </c>
      <c r="E330" s="94">
        <v>1123</v>
      </c>
      <c r="F330" s="94">
        <v>750</v>
      </c>
      <c r="G330" s="94">
        <v>571</v>
      </c>
      <c r="H330" s="682">
        <v>288</v>
      </c>
      <c r="I330" s="642">
        <v>40</v>
      </c>
      <c r="J330" s="642">
        <v>8</v>
      </c>
      <c r="K330" s="255">
        <f>ROUND(((J330/I330-1)*100), 1)</f>
        <v>-80</v>
      </c>
      <c r="L330" s="386">
        <f t="shared" si="496"/>
        <v>23</v>
      </c>
      <c r="M330" s="547">
        <f t="shared" si="496"/>
        <v>44</v>
      </c>
      <c r="N330" s="541">
        <f t="shared" ref="N330:N337" si="504">ROUND(((M330/L330-1)*100), 1)</f>
        <v>91.3</v>
      </c>
      <c r="O330" s="547">
        <v>63</v>
      </c>
      <c r="P330" s="547">
        <v>52</v>
      </c>
      <c r="Q330" s="255">
        <f>ROUND(((P330/O330-1)*100), 1)</f>
        <v>-17.5</v>
      </c>
      <c r="R330" s="574">
        <f t="shared" ref="R330:R342" si="505">U330-O330</f>
        <v>36</v>
      </c>
      <c r="S330" s="547">
        <f t="shared" ref="S330:S342" si="506">V330-P330</f>
        <v>20</v>
      </c>
      <c r="T330" s="541">
        <f t="shared" ref="T330:T337" si="507">ROUND(((S330/R330-1)*100), 1)</f>
        <v>-44.4</v>
      </c>
      <c r="U330" s="547">
        <v>99</v>
      </c>
      <c r="V330" s="547">
        <v>72</v>
      </c>
      <c r="W330" s="255">
        <f t="shared" si="498"/>
        <v>-27.3</v>
      </c>
      <c r="X330" s="386">
        <f t="shared" si="499"/>
        <v>17</v>
      </c>
      <c r="Y330" s="547">
        <f t="shared" si="493"/>
        <v>30</v>
      </c>
      <c r="Z330" s="255">
        <f t="shared" si="500"/>
        <v>76.5</v>
      </c>
      <c r="AA330" s="642">
        <v>116</v>
      </c>
      <c r="AB330" s="642">
        <v>102</v>
      </c>
      <c r="AC330" s="255">
        <f t="shared" si="501"/>
        <v>-12.1</v>
      </c>
      <c r="AD330" s="574">
        <f t="shared" ref="AD330:AE341" si="508">AG330-AA330</f>
        <v>40</v>
      </c>
      <c r="AE330" s="574">
        <f t="shared" si="508"/>
        <v>69</v>
      </c>
      <c r="AF330" s="541">
        <f t="shared" ref="AF330:AF338" si="509">ROUND(((AE330/AD330-1)*100), 1)</f>
        <v>72.5</v>
      </c>
      <c r="AG330" s="478">
        <v>156</v>
      </c>
      <c r="AH330" s="547">
        <v>171</v>
      </c>
      <c r="AI330" s="255">
        <f t="shared" si="503"/>
        <v>9.6</v>
      </c>
    </row>
    <row r="331" spans="1:35">
      <c r="A331" s="92"/>
      <c r="B331" s="3"/>
      <c r="C331" s="101" t="s">
        <v>115</v>
      </c>
      <c r="D331" s="94">
        <v>23</v>
      </c>
      <c r="E331" s="94">
        <v>246</v>
      </c>
      <c r="F331" s="94">
        <v>227</v>
      </c>
      <c r="G331" s="94">
        <v>88</v>
      </c>
      <c r="H331" s="682">
        <v>191</v>
      </c>
      <c r="I331" s="642">
        <v>8</v>
      </c>
      <c r="J331" s="642">
        <v>18</v>
      </c>
      <c r="K331" s="541">
        <f t="shared" ref="K331:K337" si="510">ROUND(((J331/I331-1)*100), 1)</f>
        <v>125</v>
      </c>
      <c r="L331" s="386">
        <f t="shared" si="496"/>
        <v>26</v>
      </c>
      <c r="M331" s="547">
        <f t="shared" si="496"/>
        <v>12</v>
      </c>
      <c r="N331" s="541">
        <f t="shared" si="504"/>
        <v>-53.8</v>
      </c>
      <c r="O331" s="547">
        <v>34</v>
      </c>
      <c r="P331" s="547">
        <v>30</v>
      </c>
      <c r="Q331" s="541">
        <f t="shared" ref="Q331:Q337" si="511">ROUND(((P331/O331-1)*100), 1)</f>
        <v>-11.8</v>
      </c>
      <c r="R331" s="574">
        <f t="shared" si="505"/>
        <v>0</v>
      </c>
      <c r="S331" s="547">
        <f t="shared" si="506"/>
        <v>4</v>
      </c>
      <c r="T331" s="570">
        <v>0</v>
      </c>
      <c r="U331" s="547">
        <v>34</v>
      </c>
      <c r="V331" s="547">
        <v>34</v>
      </c>
      <c r="W331" s="255">
        <f t="shared" si="498"/>
        <v>0</v>
      </c>
      <c r="X331" s="386">
        <f t="shared" si="499"/>
        <v>1</v>
      </c>
      <c r="Y331" s="547">
        <f t="shared" si="493"/>
        <v>0</v>
      </c>
      <c r="Z331" s="255">
        <f t="shared" si="500"/>
        <v>-100</v>
      </c>
      <c r="AA331" s="642">
        <v>35</v>
      </c>
      <c r="AB331" s="642">
        <v>34</v>
      </c>
      <c r="AC331" s="255">
        <f t="shared" si="501"/>
        <v>-2.9</v>
      </c>
      <c r="AD331" s="574">
        <f t="shared" si="508"/>
        <v>5</v>
      </c>
      <c r="AE331" s="574">
        <f t="shared" si="508"/>
        <v>0</v>
      </c>
      <c r="AF331" s="541">
        <f t="shared" si="509"/>
        <v>-100</v>
      </c>
      <c r="AG331" s="478">
        <v>40</v>
      </c>
      <c r="AH331" s="547">
        <v>34</v>
      </c>
      <c r="AI331" s="255">
        <f t="shared" si="503"/>
        <v>-15</v>
      </c>
    </row>
    <row r="332" spans="1:35">
      <c r="A332" s="92"/>
      <c r="B332" s="3"/>
      <c r="C332" s="101" t="s">
        <v>100</v>
      </c>
      <c r="D332" s="94">
        <v>67</v>
      </c>
      <c r="E332" s="94">
        <v>68</v>
      </c>
      <c r="F332" s="94">
        <v>140</v>
      </c>
      <c r="G332" s="94">
        <v>386</v>
      </c>
      <c r="H332" s="682">
        <v>173</v>
      </c>
      <c r="I332" s="642">
        <v>15</v>
      </c>
      <c r="J332" s="642">
        <v>3</v>
      </c>
      <c r="K332" s="541">
        <f t="shared" si="510"/>
        <v>-80</v>
      </c>
      <c r="L332" s="386">
        <f t="shared" si="496"/>
        <v>15</v>
      </c>
      <c r="M332" s="547">
        <f t="shared" si="496"/>
        <v>4</v>
      </c>
      <c r="N332" s="541">
        <f t="shared" si="504"/>
        <v>-73.3</v>
      </c>
      <c r="O332" s="547">
        <v>30</v>
      </c>
      <c r="P332" s="547">
        <v>7</v>
      </c>
      <c r="Q332" s="541">
        <f t="shared" si="511"/>
        <v>-76.7</v>
      </c>
      <c r="R332" s="574">
        <f t="shared" si="505"/>
        <v>22</v>
      </c>
      <c r="S332" s="547">
        <f t="shared" si="506"/>
        <v>6</v>
      </c>
      <c r="T332" s="541">
        <f t="shared" si="507"/>
        <v>-72.7</v>
      </c>
      <c r="U332" s="547">
        <v>52</v>
      </c>
      <c r="V332" s="547">
        <v>13</v>
      </c>
      <c r="W332" s="255">
        <f t="shared" si="498"/>
        <v>-75</v>
      </c>
      <c r="X332" s="386">
        <f t="shared" si="499"/>
        <v>14</v>
      </c>
      <c r="Y332" s="547">
        <f t="shared" si="493"/>
        <v>12</v>
      </c>
      <c r="Z332" s="255">
        <f t="shared" si="500"/>
        <v>-14.3</v>
      </c>
      <c r="AA332" s="642">
        <v>66</v>
      </c>
      <c r="AB332" s="642">
        <v>25</v>
      </c>
      <c r="AC332" s="255">
        <f t="shared" si="501"/>
        <v>-62.1</v>
      </c>
      <c r="AD332" s="574">
        <f t="shared" si="508"/>
        <v>6</v>
      </c>
      <c r="AE332" s="574">
        <f t="shared" si="508"/>
        <v>6</v>
      </c>
      <c r="AF332" s="541">
        <f t="shared" si="509"/>
        <v>0</v>
      </c>
      <c r="AG332" s="478">
        <v>72</v>
      </c>
      <c r="AH332" s="547">
        <v>31</v>
      </c>
      <c r="AI332" s="255">
        <f t="shared" si="503"/>
        <v>-56.9</v>
      </c>
    </row>
    <row r="333" spans="1:35">
      <c r="A333" s="92"/>
      <c r="B333" s="3"/>
      <c r="C333" s="101" t="s">
        <v>133</v>
      </c>
      <c r="D333" s="94">
        <v>112</v>
      </c>
      <c r="E333" s="94">
        <v>106</v>
      </c>
      <c r="F333" s="94">
        <v>162</v>
      </c>
      <c r="G333" s="94">
        <v>173</v>
      </c>
      <c r="H333" s="682">
        <v>171</v>
      </c>
      <c r="I333" s="642">
        <v>0</v>
      </c>
      <c r="J333" s="642">
        <v>16</v>
      </c>
      <c r="K333" s="570">
        <v>0</v>
      </c>
      <c r="L333" s="386">
        <f t="shared" si="496"/>
        <v>25</v>
      </c>
      <c r="M333" s="547">
        <f t="shared" si="496"/>
        <v>18</v>
      </c>
      <c r="N333" s="541">
        <f t="shared" si="504"/>
        <v>-28</v>
      </c>
      <c r="O333" s="547">
        <v>25</v>
      </c>
      <c r="P333" s="547">
        <v>34</v>
      </c>
      <c r="Q333" s="541">
        <f t="shared" si="511"/>
        <v>36</v>
      </c>
      <c r="R333" s="574">
        <f t="shared" si="505"/>
        <v>13</v>
      </c>
      <c r="S333" s="547">
        <f t="shared" si="506"/>
        <v>1</v>
      </c>
      <c r="T333" s="541">
        <f t="shared" si="507"/>
        <v>-92.3</v>
      </c>
      <c r="U333" s="547">
        <v>38</v>
      </c>
      <c r="V333" s="547">
        <v>35</v>
      </c>
      <c r="W333" s="541">
        <f t="shared" si="498"/>
        <v>-7.9</v>
      </c>
      <c r="X333" s="386">
        <f t="shared" si="499"/>
        <v>14</v>
      </c>
      <c r="Y333" s="547">
        <f t="shared" si="493"/>
        <v>12</v>
      </c>
      <c r="Z333" s="464">
        <v>0</v>
      </c>
      <c r="AA333" s="642">
        <v>52</v>
      </c>
      <c r="AB333" s="642">
        <v>47</v>
      </c>
      <c r="AC333" s="255">
        <f t="shared" si="501"/>
        <v>-9.6</v>
      </c>
      <c r="AD333" s="574">
        <f t="shared" si="508"/>
        <v>13</v>
      </c>
      <c r="AE333" s="574">
        <f t="shared" si="508"/>
        <v>14</v>
      </c>
      <c r="AF333" s="541">
        <f t="shared" si="509"/>
        <v>7.7</v>
      </c>
      <c r="AG333" s="478">
        <v>65</v>
      </c>
      <c r="AH333" s="547">
        <v>61</v>
      </c>
      <c r="AI333" s="255">
        <f t="shared" si="503"/>
        <v>-6.2</v>
      </c>
    </row>
    <row r="334" spans="1:35">
      <c r="A334" s="92"/>
      <c r="B334" s="3"/>
      <c r="C334" s="101" t="s">
        <v>118</v>
      </c>
      <c r="D334" s="94">
        <v>17</v>
      </c>
      <c r="E334" s="94">
        <v>74</v>
      </c>
      <c r="F334" s="94">
        <v>46</v>
      </c>
      <c r="G334" s="94">
        <v>113</v>
      </c>
      <c r="H334" s="682">
        <v>98</v>
      </c>
      <c r="I334" s="642">
        <v>0</v>
      </c>
      <c r="J334" s="642">
        <v>0</v>
      </c>
      <c r="K334" s="570">
        <v>0</v>
      </c>
      <c r="L334" s="386">
        <f t="shared" si="496"/>
        <v>0</v>
      </c>
      <c r="M334" s="547">
        <f t="shared" si="496"/>
        <v>0</v>
      </c>
      <c r="N334" s="570">
        <v>0</v>
      </c>
      <c r="O334" s="547">
        <v>0</v>
      </c>
      <c r="P334" s="547">
        <v>0</v>
      </c>
      <c r="Q334" s="570">
        <v>0</v>
      </c>
      <c r="R334" s="574">
        <f t="shared" si="505"/>
        <v>14</v>
      </c>
      <c r="S334" s="547">
        <f t="shared" si="506"/>
        <v>0</v>
      </c>
      <c r="T334" s="541">
        <f t="shared" si="507"/>
        <v>-100</v>
      </c>
      <c r="U334" s="547">
        <v>14</v>
      </c>
      <c r="V334" s="547">
        <v>0</v>
      </c>
      <c r="W334" s="541">
        <f t="shared" si="498"/>
        <v>-100</v>
      </c>
      <c r="X334" s="386">
        <f t="shared" si="499"/>
        <v>15</v>
      </c>
      <c r="Y334" s="547">
        <f t="shared" si="493"/>
        <v>0</v>
      </c>
      <c r="Z334" s="541">
        <f>ROUND(((Y334/X334-1)*100), 1)</f>
        <v>-100</v>
      </c>
      <c r="AA334" s="642">
        <v>29</v>
      </c>
      <c r="AB334" s="642">
        <v>0</v>
      </c>
      <c r="AC334" s="255">
        <f t="shared" si="501"/>
        <v>-100</v>
      </c>
      <c r="AD334" s="574">
        <f t="shared" si="508"/>
        <v>30</v>
      </c>
      <c r="AE334" s="574">
        <f t="shared" si="508"/>
        <v>0</v>
      </c>
      <c r="AF334" s="541">
        <f t="shared" si="509"/>
        <v>-100</v>
      </c>
      <c r="AG334" s="478">
        <v>59</v>
      </c>
      <c r="AH334" s="547">
        <v>0</v>
      </c>
      <c r="AI334" s="255">
        <f t="shared" si="503"/>
        <v>-100</v>
      </c>
    </row>
    <row r="335" spans="1:35">
      <c r="A335" s="92"/>
      <c r="B335" s="3"/>
      <c r="C335" s="101" t="s">
        <v>104</v>
      </c>
      <c r="D335" s="94">
        <v>203</v>
      </c>
      <c r="E335" s="94">
        <v>131</v>
      </c>
      <c r="F335" s="94">
        <v>73</v>
      </c>
      <c r="G335" s="94">
        <v>71</v>
      </c>
      <c r="H335" s="682">
        <v>77</v>
      </c>
      <c r="I335" s="642">
        <v>3</v>
      </c>
      <c r="J335" s="642">
        <v>3</v>
      </c>
      <c r="K335" s="541">
        <f t="shared" si="510"/>
        <v>0</v>
      </c>
      <c r="L335" s="386">
        <f t="shared" si="496"/>
        <v>8</v>
      </c>
      <c r="M335" s="547">
        <f t="shared" si="496"/>
        <v>13</v>
      </c>
      <c r="N335" s="541">
        <f t="shared" si="504"/>
        <v>62.5</v>
      </c>
      <c r="O335" s="547">
        <v>11</v>
      </c>
      <c r="P335" s="547">
        <v>16</v>
      </c>
      <c r="Q335" s="541">
        <f t="shared" si="511"/>
        <v>45.5</v>
      </c>
      <c r="R335" s="574">
        <f t="shared" si="505"/>
        <v>9</v>
      </c>
      <c r="S335" s="547">
        <f t="shared" si="506"/>
        <v>11</v>
      </c>
      <c r="T335" s="541">
        <f t="shared" si="507"/>
        <v>22.2</v>
      </c>
      <c r="U335" s="547">
        <v>20</v>
      </c>
      <c r="V335" s="547">
        <v>27</v>
      </c>
      <c r="W335" s="541">
        <f t="shared" si="498"/>
        <v>35</v>
      </c>
      <c r="X335" s="386">
        <f t="shared" si="499"/>
        <v>3</v>
      </c>
      <c r="Y335" s="547">
        <f t="shared" si="493"/>
        <v>7</v>
      </c>
      <c r="Z335" s="255">
        <f>ROUND(((Y335/X335-1)*100), 1)</f>
        <v>133.30000000000001</v>
      </c>
      <c r="AA335" s="642">
        <v>23</v>
      </c>
      <c r="AB335" s="642">
        <v>34</v>
      </c>
      <c r="AC335" s="255">
        <f t="shared" si="501"/>
        <v>47.8</v>
      </c>
      <c r="AD335" s="574">
        <f t="shared" si="508"/>
        <v>3</v>
      </c>
      <c r="AE335" s="574">
        <f t="shared" si="508"/>
        <v>0</v>
      </c>
      <c r="AF335" s="541">
        <f t="shared" si="509"/>
        <v>-100</v>
      </c>
      <c r="AG335" s="478">
        <v>26</v>
      </c>
      <c r="AH335" s="547">
        <v>34</v>
      </c>
      <c r="AI335" s="255">
        <f t="shared" si="503"/>
        <v>30.8</v>
      </c>
    </row>
    <row r="336" spans="1:35">
      <c r="A336" s="92"/>
      <c r="B336" s="3"/>
      <c r="C336" s="101" t="s">
        <v>91</v>
      </c>
      <c r="D336" s="94">
        <v>317</v>
      </c>
      <c r="E336" s="94">
        <v>103</v>
      </c>
      <c r="F336" s="94">
        <v>259</v>
      </c>
      <c r="G336" s="94">
        <v>152</v>
      </c>
      <c r="H336" s="682">
        <v>35</v>
      </c>
      <c r="I336" s="642">
        <v>2</v>
      </c>
      <c r="J336" s="642">
        <v>0</v>
      </c>
      <c r="K336" s="541">
        <f t="shared" si="510"/>
        <v>-100</v>
      </c>
      <c r="L336" s="386">
        <f t="shared" si="496"/>
        <v>13</v>
      </c>
      <c r="M336" s="547">
        <f t="shared" si="496"/>
        <v>6</v>
      </c>
      <c r="N336" s="541">
        <f t="shared" si="504"/>
        <v>-53.8</v>
      </c>
      <c r="O336" s="547">
        <v>15</v>
      </c>
      <c r="P336" s="547">
        <v>6</v>
      </c>
      <c r="Q336" s="541">
        <f t="shared" si="511"/>
        <v>-60</v>
      </c>
      <c r="R336" s="574">
        <f t="shared" si="505"/>
        <v>6</v>
      </c>
      <c r="S336" s="547">
        <f t="shared" si="506"/>
        <v>0</v>
      </c>
      <c r="T336" s="541">
        <f t="shared" si="507"/>
        <v>-100</v>
      </c>
      <c r="U336" s="547">
        <v>21</v>
      </c>
      <c r="V336" s="547">
        <v>6</v>
      </c>
      <c r="W336" s="541">
        <f t="shared" si="498"/>
        <v>-71.400000000000006</v>
      </c>
      <c r="X336" s="386">
        <f t="shared" si="499"/>
        <v>0</v>
      </c>
      <c r="Y336" s="547">
        <f t="shared" si="493"/>
        <v>6</v>
      </c>
      <c r="Z336" s="570">
        <v>0</v>
      </c>
      <c r="AA336" s="642">
        <v>21</v>
      </c>
      <c r="AB336" s="642">
        <v>12</v>
      </c>
      <c r="AC336" s="255">
        <f t="shared" si="501"/>
        <v>-42.9</v>
      </c>
      <c r="AD336" s="574">
        <f t="shared" si="508"/>
        <v>1</v>
      </c>
      <c r="AE336" s="574">
        <f t="shared" si="508"/>
        <v>6</v>
      </c>
      <c r="AF336" s="541">
        <f t="shared" si="509"/>
        <v>500</v>
      </c>
      <c r="AG336" s="478">
        <v>22</v>
      </c>
      <c r="AH336" s="547">
        <v>18</v>
      </c>
      <c r="AI336" s="255">
        <f t="shared" si="503"/>
        <v>-18.2</v>
      </c>
    </row>
    <row r="337" spans="1:35">
      <c r="A337" s="92"/>
      <c r="B337" s="3"/>
      <c r="C337" s="101" t="s">
        <v>106</v>
      </c>
      <c r="D337" s="94">
        <v>112</v>
      </c>
      <c r="E337" s="94">
        <v>168</v>
      </c>
      <c r="F337" s="94">
        <v>291</v>
      </c>
      <c r="G337" s="94">
        <v>216</v>
      </c>
      <c r="H337" s="682">
        <v>32</v>
      </c>
      <c r="I337" s="642">
        <v>2</v>
      </c>
      <c r="J337" s="642">
        <v>6</v>
      </c>
      <c r="K337" s="541">
        <f t="shared" si="510"/>
        <v>200</v>
      </c>
      <c r="L337" s="386">
        <f t="shared" si="496"/>
        <v>2</v>
      </c>
      <c r="M337" s="547">
        <f t="shared" si="496"/>
        <v>1</v>
      </c>
      <c r="N337" s="541">
        <f t="shared" si="504"/>
        <v>-50</v>
      </c>
      <c r="O337" s="547">
        <v>4</v>
      </c>
      <c r="P337" s="547">
        <v>7</v>
      </c>
      <c r="Q337" s="541">
        <f t="shared" si="511"/>
        <v>75</v>
      </c>
      <c r="R337" s="574">
        <f t="shared" si="505"/>
        <v>1</v>
      </c>
      <c r="S337" s="547">
        <f t="shared" si="506"/>
        <v>2</v>
      </c>
      <c r="T337" s="541">
        <f t="shared" si="507"/>
        <v>100</v>
      </c>
      <c r="U337" s="547">
        <v>5</v>
      </c>
      <c r="V337" s="547">
        <v>9</v>
      </c>
      <c r="W337" s="541">
        <f t="shared" si="498"/>
        <v>80</v>
      </c>
      <c r="X337" s="386">
        <f t="shared" si="499"/>
        <v>16</v>
      </c>
      <c r="Y337" s="547">
        <f t="shared" si="493"/>
        <v>7</v>
      </c>
      <c r="Z337" s="255">
        <f>ROUND(((Y337/X337-1)*100), 1)</f>
        <v>-56.3</v>
      </c>
      <c r="AA337" s="642">
        <v>21</v>
      </c>
      <c r="AB337" s="642">
        <v>16</v>
      </c>
      <c r="AC337" s="255">
        <f t="shared" si="501"/>
        <v>-23.8</v>
      </c>
      <c r="AD337" s="574">
        <f t="shared" si="508"/>
        <v>1</v>
      </c>
      <c r="AE337" s="574">
        <f t="shared" si="508"/>
        <v>3</v>
      </c>
      <c r="AF337" s="541">
        <f t="shared" si="509"/>
        <v>200</v>
      </c>
      <c r="AG337" s="478">
        <v>22</v>
      </c>
      <c r="AH337" s="547">
        <v>19</v>
      </c>
      <c r="AI337" s="255">
        <f t="shared" si="503"/>
        <v>-13.6</v>
      </c>
    </row>
    <row r="338" spans="1:35">
      <c r="A338" s="92"/>
      <c r="B338" s="3"/>
      <c r="C338" s="101" t="s">
        <v>120</v>
      </c>
      <c r="D338" s="94">
        <v>33</v>
      </c>
      <c r="E338" s="94">
        <v>101</v>
      </c>
      <c r="F338" s="94">
        <v>124</v>
      </c>
      <c r="G338" s="94">
        <v>166</v>
      </c>
      <c r="H338" s="682">
        <v>17</v>
      </c>
      <c r="I338" s="642">
        <v>0</v>
      </c>
      <c r="J338" s="642">
        <v>2</v>
      </c>
      <c r="K338" s="570">
        <v>0</v>
      </c>
      <c r="L338" s="386">
        <f t="shared" si="496"/>
        <v>0</v>
      </c>
      <c r="M338" s="547">
        <f t="shared" si="496"/>
        <v>1</v>
      </c>
      <c r="N338" s="570">
        <v>0</v>
      </c>
      <c r="O338" s="547">
        <v>0</v>
      </c>
      <c r="P338" s="547">
        <v>3</v>
      </c>
      <c r="Q338" s="570">
        <v>0</v>
      </c>
      <c r="R338" s="574">
        <f t="shared" si="505"/>
        <v>0</v>
      </c>
      <c r="S338" s="547">
        <f t="shared" si="506"/>
        <v>2</v>
      </c>
      <c r="T338" s="570">
        <v>0</v>
      </c>
      <c r="U338" s="547">
        <v>0</v>
      </c>
      <c r="V338" s="547">
        <v>5</v>
      </c>
      <c r="W338" s="570">
        <v>0</v>
      </c>
      <c r="X338" s="574">
        <f t="shared" ref="X338:X340" si="512">AA338-U338</f>
        <v>0</v>
      </c>
      <c r="Y338" s="547">
        <f t="shared" ref="Y338:Y340" si="513">AB338-V338</f>
        <v>1</v>
      </c>
      <c r="Z338" s="570">
        <v>0</v>
      </c>
      <c r="AA338" s="642">
        <v>0</v>
      </c>
      <c r="AB338" s="642">
        <v>6</v>
      </c>
      <c r="AC338" s="570">
        <v>0</v>
      </c>
      <c r="AD338" s="574">
        <f t="shared" si="508"/>
        <v>6</v>
      </c>
      <c r="AE338" s="574">
        <f t="shared" si="508"/>
        <v>1</v>
      </c>
      <c r="AF338" s="541">
        <f t="shared" si="509"/>
        <v>-83.3</v>
      </c>
      <c r="AG338" s="478">
        <v>6</v>
      </c>
      <c r="AH338" s="547">
        <v>7</v>
      </c>
      <c r="AI338" s="541">
        <f t="shared" si="503"/>
        <v>16.7</v>
      </c>
    </row>
    <row r="339" spans="1:35" s="605" customFormat="1">
      <c r="A339" s="676"/>
      <c r="B339" s="675"/>
      <c r="C339" s="101" t="s">
        <v>544</v>
      </c>
      <c r="D339" s="94">
        <v>0</v>
      </c>
      <c r="E339" s="94">
        <v>0</v>
      </c>
      <c r="F339" s="94">
        <v>13</v>
      </c>
      <c r="G339" s="94">
        <v>0</v>
      </c>
      <c r="H339" s="682">
        <v>15</v>
      </c>
      <c r="I339" s="642">
        <v>0</v>
      </c>
      <c r="J339" s="642">
        <v>0</v>
      </c>
      <c r="K339" s="570">
        <v>0</v>
      </c>
      <c r="L339" s="574">
        <f t="shared" ref="L339:L340" si="514">O339-I339</f>
        <v>0</v>
      </c>
      <c r="M339" s="547">
        <f t="shared" ref="M339:M340" si="515">P339-J339</f>
        <v>0</v>
      </c>
      <c r="N339" s="570">
        <v>0</v>
      </c>
      <c r="O339" s="547">
        <v>0</v>
      </c>
      <c r="P339" s="547">
        <v>0</v>
      </c>
      <c r="Q339" s="570">
        <v>0</v>
      </c>
      <c r="R339" s="574">
        <f t="shared" si="505"/>
        <v>0</v>
      </c>
      <c r="S339" s="547">
        <f t="shared" si="506"/>
        <v>0</v>
      </c>
      <c r="T339" s="570">
        <v>0</v>
      </c>
      <c r="U339" s="547">
        <v>0</v>
      </c>
      <c r="V339" s="547">
        <v>0</v>
      </c>
      <c r="W339" s="570">
        <v>0</v>
      </c>
      <c r="X339" s="574">
        <f t="shared" si="512"/>
        <v>0</v>
      </c>
      <c r="Y339" s="547">
        <f t="shared" si="513"/>
        <v>0</v>
      </c>
      <c r="Z339" s="570">
        <v>0</v>
      </c>
      <c r="AA339" s="642">
        <v>0</v>
      </c>
      <c r="AB339" s="642">
        <v>0</v>
      </c>
      <c r="AC339" s="570">
        <v>0</v>
      </c>
      <c r="AD339" s="574">
        <f t="shared" si="508"/>
        <v>0</v>
      </c>
      <c r="AE339" s="574">
        <f t="shared" si="508"/>
        <v>0</v>
      </c>
      <c r="AF339" s="570">
        <v>0</v>
      </c>
      <c r="AG339" s="478">
        <v>0</v>
      </c>
      <c r="AH339" s="547">
        <v>0</v>
      </c>
      <c r="AI339" s="570">
        <v>0</v>
      </c>
    </row>
    <row r="340" spans="1:35">
      <c r="A340" s="92"/>
      <c r="B340" s="3"/>
      <c r="C340" s="101" t="s">
        <v>94</v>
      </c>
      <c r="D340" s="94">
        <v>16</v>
      </c>
      <c r="E340" s="94">
        <v>2</v>
      </c>
      <c r="F340" s="94">
        <v>9</v>
      </c>
      <c r="G340" s="94">
        <v>4</v>
      </c>
      <c r="H340" s="682">
        <v>3</v>
      </c>
      <c r="I340" s="642">
        <v>0</v>
      </c>
      <c r="J340" s="642">
        <v>0</v>
      </c>
      <c r="K340" s="570">
        <v>0</v>
      </c>
      <c r="L340" s="574">
        <f t="shared" si="514"/>
        <v>0</v>
      </c>
      <c r="M340" s="547">
        <f t="shared" si="515"/>
        <v>0</v>
      </c>
      <c r="N340" s="570">
        <v>0</v>
      </c>
      <c r="O340" s="547">
        <v>0</v>
      </c>
      <c r="P340" s="547">
        <v>0</v>
      </c>
      <c r="Q340" s="173">
        <v>0</v>
      </c>
      <c r="R340" s="574">
        <f t="shared" si="505"/>
        <v>0</v>
      </c>
      <c r="S340" s="547">
        <f t="shared" si="506"/>
        <v>1</v>
      </c>
      <c r="T340" s="570">
        <v>0</v>
      </c>
      <c r="U340" s="547">
        <v>0</v>
      </c>
      <c r="V340" s="547">
        <v>1</v>
      </c>
      <c r="W340" s="570">
        <v>0</v>
      </c>
      <c r="X340" s="574">
        <f t="shared" si="512"/>
        <v>1</v>
      </c>
      <c r="Y340" s="547">
        <f t="shared" si="513"/>
        <v>0</v>
      </c>
      <c r="Z340" s="541">
        <f t="shared" ref="Z340" si="516">ROUND(((Y340/X340-1)*100), 1)</f>
        <v>-100</v>
      </c>
      <c r="AA340" s="642">
        <v>1</v>
      </c>
      <c r="AB340" s="642">
        <v>1</v>
      </c>
      <c r="AC340" s="541">
        <f>ROUND(((AB340/AA340-1)*100), 1)</f>
        <v>0</v>
      </c>
      <c r="AD340" s="574">
        <f t="shared" si="508"/>
        <v>0</v>
      </c>
      <c r="AE340" s="574">
        <f t="shared" si="508"/>
        <v>0</v>
      </c>
      <c r="AF340" s="570">
        <v>0</v>
      </c>
      <c r="AG340" s="478">
        <v>1</v>
      </c>
      <c r="AH340" s="547">
        <v>1</v>
      </c>
      <c r="AI340" s="255">
        <f>ROUND(((AH340/AG340-1)*100), 1)</f>
        <v>0</v>
      </c>
    </row>
    <row r="341" spans="1:35">
      <c r="A341" s="92"/>
      <c r="B341" s="3"/>
      <c r="C341" s="101" t="s">
        <v>229</v>
      </c>
      <c r="D341" s="94">
        <v>33</v>
      </c>
      <c r="E341" s="94">
        <v>0</v>
      </c>
      <c r="F341" s="94">
        <v>0</v>
      </c>
      <c r="G341" s="94">
        <v>0</v>
      </c>
      <c r="H341" s="682">
        <v>1</v>
      </c>
      <c r="I341" s="642">
        <v>0</v>
      </c>
      <c r="J341" s="642">
        <v>0</v>
      </c>
      <c r="K341" s="570">
        <v>0</v>
      </c>
      <c r="L341" s="386">
        <f>O341-I341</f>
        <v>0</v>
      </c>
      <c r="M341" s="547">
        <f>P341-J341</f>
        <v>0</v>
      </c>
      <c r="N341" s="173">
        <v>0</v>
      </c>
      <c r="O341" s="547">
        <v>0</v>
      </c>
      <c r="P341" s="547">
        <v>0</v>
      </c>
      <c r="Q341" s="173">
        <v>0</v>
      </c>
      <c r="R341" s="574">
        <f t="shared" si="505"/>
        <v>0</v>
      </c>
      <c r="S341" s="547">
        <f t="shared" si="506"/>
        <v>35</v>
      </c>
      <c r="T341" s="570">
        <v>0</v>
      </c>
      <c r="U341" s="547">
        <v>0</v>
      </c>
      <c r="V341" s="547">
        <v>35</v>
      </c>
      <c r="W341" s="570">
        <v>0</v>
      </c>
      <c r="X341" s="386">
        <f>AA341-U341</f>
        <v>0</v>
      </c>
      <c r="Y341" s="547">
        <f t="shared" si="493"/>
        <v>0</v>
      </c>
      <c r="Z341" s="464">
        <v>0</v>
      </c>
      <c r="AA341" s="642">
        <v>0</v>
      </c>
      <c r="AB341" s="642">
        <v>35</v>
      </c>
      <c r="AC341" s="570">
        <v>0</v>
      </c>
      <c r="AD341" s="574">
        <f t="shared" si="508"/>
        <v>0</v>
      </c>
      <c r="AE341" s="574">
        <f t="shared" si="508"/>
        <v>0</v>
      </c>
      <c r="AF341" s="570">
        <v>0</v>
      </c>
      <c r="AG341" s="478">
        <v>0</v>
      </c>
      <c r="AH341" s="547">
        <v>35</v>
      </c>
      <c r="AI341" s="570">
        <v>0</v>
      </c>
    </row>
    <row r="342" spans="1:35">
      <c r="A342" s="92"/>
      <c r="B342" s="3"/>
      <c r="C342" s="101" t="s">
        <v>217</v>
      </c>
      <c r="D342" s="94">
        <v>6</v>
      </c>
      <c r="E342" s="94">
        <v>9</v>
      </c>
      <c r="F342" s="94">
        <v>0</v>
      </c>
      <c r="G342" s="94">
        <v>13</v>
      </c>
      <c r="H342" s="682">
        <v>0</v>
      </c>
      <c r="I342" s="642">
        <v>0</v>
      </c>
      <c r="J342" s="642">
        <v>0</v>
      </c>
      <c r="K342" s="173">
        <v>0</v>
      </c>
      <c r="L342" s="386">
        <f>O342-I342</f>
        <v>0</v>
      </c>
      <c r="M342" s="547">
        <f>P342-J342</f>
        <v>0</v>
      </c>
      <c r="N342" s="173">
        <v>0</v>
      </c>
      <c r="O342" s="547">
        <v>0</v>
      </c>
      <c r="P342" s="547">
        <v>0</v>
      </c>
      <c r="Q342" s="173">
        <v>0</v>
      </c>
      <c r="R342" s="574">
        <f t="shared" si="505"/>
        <v>0</v>
      </c>
      <c r="S342" s="547">
        <f t="shared" si="506"/>
        <v>0</v>
      </c>
      <c r="T342" s="570">
        <v>0</v>
      </c>
      <c r="U342" s="547">
        <v>0</v>
      </c>
      <c r="V342" s="547">
        <v>0</v>
      </c>
      <c r="W342" s="570">
        <v>0</v>
      </c>
      <c r="X342" s="386">
        <f>AA342-U342</f>
        <v>0</v>
      </c>
      <c r="Y342" s="547">
        <f t="shared" ref="Y342" si="517">AB342-V342</f>
        <v>0</v>
      </c>
      <c r="Z342" s="464">
        <v>0</v>
      </c>
      <c r="AA342" s="642">
        <v>0</v>
      </c>
      <c r="AB342" s="642">
        <v>0</v>
      </c>
      <c r="AC342" s="464">
        <v>0</v>
      </c>
      <c r="AD342" s="386">
        <f>AG342-AA342</f>
        <v>0</v>
      </c>
      <c r="AE342" s="574">
        <f>AH342-AB342</f>
        <v>0</v>
      </c>
      <c r="AF342" s="570">
        <v>0</v>
      </c>
      <c r="AG342" s="478">
        <v>0</v>
      </c>
      <c r="AH342" s="547">
        <v>0</v>
      </c>
      <c r="AI342" s="570">
        <v>0</v>
      </c>
    </row>
    <row r="343" spans="1:35">
      <c r="A343" s="92"/>
      <c r="B343" s="3"/>
      <c r="C343" s="101" t="s">
        <v>75</v>
      </c>
      <c r="D343" s="94">
        <f t="shared" ref="D343:J343" si="518">D344-SUM(D327:D342)</f>
        <v>15</v>
      </c>
      <c r="E343" s="94">
        <f t="shared" si="518"/>
        <v>13</v>
      </c>
      <c r="F343" s="94">
        <f t="shared" si="518"/>
        <v>31</v>
      </c>
      <c r="G343" s="94">
        <f t="shared" si="518"/>
        <v>68</v>
      </c>
      <c r="H343" s="682">
        <f t="shared" si="518"/>
        <v>30</v>
      </c>
      <c r="I343" s="642">
        <f t="shared" si="518"/>
        <v>3</v>
      </c>
      <c r="J343" s="642">
        <f t="shared" si="518"/>
        <v>10</v>
      </c>
      <c r="K343" s="255">
        <f>ROUND(((J343/I343-1)*100), 1)</f>
        <v>233.3</v>
      </c>
      <c r="L343" s="386">
        <f>L344-SUM(L327:L342)</f>
        <v>1</v>
      </c>
      <c r="M343" s="547">
        <f>M344-SUM(M327:M342)</f>
        <v>8</v>
      </c>
      <c r="N343" s="255">
        <f>ROUND(((M343/L343-1)*100), 1)</f>
        <v>700</v>
      </c>
      <c r="O343" s="547">
        <f>O344-SUM(O327:O342)</f>
        <v>4</v>
      </c>
      <c r="P343" s="547">
        <f>P344-SUM(P327:P342)</f>
        <v>18</v>
      </c>
      <c r="Q343" s="255">
        <f>ROUND(((P343/O343-1)*100), 1)</f>
        <v>350</v>
      </c>
      <c r="R343" s="574">
        <f>R344-SUM(R327:R342)</f>
        <v>1</v>
      </c>
      <c r="S343" s="547">
        <f>S344-SUM(S327:S342)</f>
        <v>0</v>
      </c>
      <c r="T343" s="255">
        <f>ROUND(((S343/R343-1)*100), 1)</f>
        <v>-100</v>
      </c>
      <c r="U343" s="547">
        <f>U344-SUM(U327:U342)</f>
        <v>5</v>
      </c>
      <c r="V343" s="547">
        <f>V344-SUM(V327:V342)</f>
        <v>18</v>
      </c>
      <c r="W343" s="255">
        <f>ROUND(((V343/U343-1)*100), 1)</f>
        <v>260</v>
      </c>
      <c r="X343" s="386">
        <f>X344-SUM(X327:X342)</f>
        <v>0</v>
      </c>
      <c r="Y343" s="547">
        <f>Y344-SUM(Y327:Y342)</f>
        <v>12</v>
      </c>
      <c r="Z343" s="466">
        <v>0</v>
      </c>
      <c r="AA343" s="642">
        <f>AA344-SUM(AA327:AA342)</f>
        <v>5</v>
      </c>
      <c r="AB343" s="642">
        <f>AB344-SUM(AB327:AB342)</f>
        <v>30</v>
      </c>
      <c r="AC343" s="255">
        <f>ROUND(((AB343/AA343-1)*100), 1)</f>
        <v>500</v>
      </c>
      <c r="AD343" s="386">
        <f>AD344-SUM(AD327:AD342)</f>
        <v>2</v>
      </c>
      <c r="AE343" s="574">
        <f>AE344-SUM(AE327:AE342)</f>
        <v>6</v>
      </c>
      <c r="AF343" s="255">
        <f>ROUND(((AE343/AD343-1)*100), 1)</f>
        <v>200</v>
      </c>
      <c r="AG343" s="478">
        <f>AG344-SUM(AG327:AG342)</f>
        <v>7</v>
      </c>
      <c r="AH343" s="547">
        <f>AH344-SUM(AH327:AH342)</f>
        <v>36</v>
      </c>
      <c r="AI343" s="255">
        <f>ROUND(((AH343/AG343-1)*100), 1)</f>
        <v>414.3</v>
      </c>
    </row>
    <row r="344" spans="1:35">
      <c r="A344" s="92"/>
      <c r="B344" s="8"/>
      <c r="C344" s="41" t="s">
        <v>216</v>
      </c>
      <c r="D344" s="95">
        <v>5286</v>
      </c>
      <c r="E344" s="95">
        <v>6029</v>
      </c>
      <c r="F344" s="95">
        <v>6709</v>
      </c>
      <c r="G344" s="95">
        <v>6884</v>
      </c>
      <c r="H344" s="683">
        <v>6624</v>
      </c>
      <c r="I344" s="644">
        <v>597</v>
      </c>
      <c r="J344" s="644">
        <v>530</v>
      </c>
      <c r="K344" s="256">
        <f>ROUND(((J344/I344-1)*100), 1)</f>
        <v>-11.2</v>
      </c>
      <c r="L344" s="381">
        <f>O344-I344</f>
        <v>343</v>
      </c>
      <c r="M344" s="548">
        <f>P344-J344</f>
        <v>462</v>
      </c>
      <c r="N344" s="256">
        <f>ROUND(((M344/L344-1)*100), 1)</f>
        <v>34.700000000000003</v>
      </c>
      <c r="O344" s="548">
        <v>940</v>
      </c>
      <c r="P344" s="548">
        <v>992</v>
      </c>
      <c r="Q344" s="256">
        <f>ROUND(((P344/O344-1)*100), 1)</f>
        <v>5.5</v>
      </c>
      <c r="R344" s="554">
        <f>U344-O344</f>
        <v>722</v>
      </c>
      <c r="S344" s="548">
        <f>V344-P344</f>
        <v>555</v>
      </c>
      <c r="T344" s="256">
        <f>ROUND(((S344/R344-1)*100), 1)</f>
        <v>-23.1</v>
      </c>
      <c r="U344" s="548">
        <v>1662</v>
      </c>
      <c r="V344" s="548">
        <v>1547</v>
      </c>
      <c r="W344" s="256">
        <f>ROUND(((V344/U344-1)*100), 1)</f>
        <v>-6.9</v>
      </c>
      <c r="X344" s="381">
        <f>AA344-U344</f>
        <v>539</v>
      </c>
      <c r="Y344" s="548">
        <f>AB344-V344</f>
        <v>456</v>
      </c>
      <c r="Z344" s="256">
        <f>ROUND(((Y344/X344-1)*100), 1)</f>
        <v>-15.4</v>
      </c>
      <c r="AA344" s="644">
        <v>2201</v>
      </c>
      <c r="AB344" s="644">
        <v>2003</v>
      </c>
      <c r="AC344" s="256">
        <f>ROUND(((AB344/AA344-1)*100), 1)</f>
        <v>-9</v>
      </c>
      <c r="AD344" s="381">
        <f>AG344-AA344</f>
        <v>594</v>
      </c>
      <c r="AE344" s="554">
        <f>AH344-AB344</f>
        <v>555</v>
      </c>
      <c r="AF344" s="256">
        <f>ROUND(((AE344/AD344-1)*100), 1)</f>
        <v>-6.6</v>
      </c>
      <c r="AG344" s="479">
        <v>2795</v>
      </c>
      <c r="AH344" s="548">
        <v>2558</v>
      </c>
      <c r="AI344" s="256">
        <f>ROUND(((AH344/AG344-1)*100), 1)</f>
        <v>-8.5</v>
      </c>
    </row>
    <row r="345" spans="1:35">
      <c r="A345" s="93"/>
      <c r="B345" s="844" t="s">
        <v>171</v>
      </c>
      <c r="C345" s="828"/>
      <c r="D345" s="104">
        <f t="shared" ref="D345:J345" si="519">SUM(D326+D344)</f>
        <v>46650</v>
      </c>
      <c r="E345" s="333">
        <f t="shared" si="519"/>
        <v>56025</v>
      </c>
      <c r="F345" s="95">
        <f t="shared" si="519"/>
        <v>70476</v>
      </c>
      <c r="G345" s="103">
        <f t="shared" si="519"/>
        <v>70000</v>
      </c>
      <c r="H345" s="683">
        <f t="shared" si="519"/>
        <v>72805</v>
      </c>
      <c r="I345" s="644">
        <f t="shared" si="519"/>
        <v>5983</v>
      </c>
      <c r="J345" s="644">
        <f t="shared" si="519"/>
        <v>5897</v>
      </c>
      <c r="K345" s="259">
        <v>10.3</v>
      </c>
      <c r="L345" s="381">
        <f>SUM(L326+L344)</f>
        <v>4556</v>
      </c>
      <c r="M345" s="548">
        <f>SUM(M326+M344)</f>
        <v>6641</v>
      </c>
      <c r="N345" s="256">
        <f>ROUND(((M345/L345-1)*100), 1)</f>
        <v>45.8</v>
      </c>
      <c r="O345" s="548">
        <f>SUM(O326+O344)</f>
        <v>10539</v>
      </c>
      <c r="P345" s="548">
        <f>SUM(P326+P344)</f>
        <v>12538</v>
      </c>
      <c r="Q345" s="256">
        <f>ROUND(((P345/O345-1)*100), 1)</f>
        <v>19</v>
      </c>
      <c r="R345" s="554">
        <f>SUM(R326+R344)</f>
        <v>7213</v>
      </c>
      <c r="S345" s="548">
        <f>SUM(S326+S344)</f>
        <v>8540</v>
      </c>
      <c r="T345" s="256">
        <f>ROUND(((S345/R345-1)*100), 1)</f>
        <v>18.399999999999999</v>
      </c>
      <c r="U345" s="548">
        <f>SUM(U326+U344)</f>
        <v>17752</v>
      </c>
      <c r="V345" s="548">
        <f>SUM(V326+V344)</f>
        <v>21078</v>
      </c>
      <c r="W345" s="256">
        <f>ROUND(((V345/U345-1)*100), 1)</f>
        <v>18.7</v>
      </c>
      <c r="X345" s="381">
        <f>SUM(X326+X344)</f>
        <v>5773</v>
      </c>
      <c r="Y345" s="548">
        <f>SUM(Y326+Y344)</f>
        <v>7561</v>
      </c>
      <c r="Z345" s="256">
        <f>ROUND(((Y345/X345-1)*100), 1)</f>
        <v>31</v>
      </c>
      <c r="AA345" s="644">
        <f>SUM(AA326+AA344)</f>
        <v>23525</v>
      </c>
      <c r="AB345" s="644">
        <f>SUM(AB326+AB344)</f>
        <v>28639</v>
      </c>
      <c r="AC345" s="256">
        <f>ROUND(((AB345/AA345-1)*100), 1)</f>
        <v>21.7</v>
      </c>
      <c r="AD345" s="381">
        <f>SUM(AD326+AD344)</f>
        <v>5236</v>
      </c>
      <c r="AE345" s="548">
        <f>SUM(AE326+AE344)</f>
        <v>7449</v>
      </c>
      <c r="AF345" s="256">
        <f>ROUND(((AE345/AD345-1)*100), 1)</f>
        <v>42.3</v>
      </c>
      <c r="AG345" s="479">
        <f>SUM(AG326+AG344)</f>
        <v>28761</v>
      </c>
      <c r="AH345" s="548">
        <f>SUM(AH326+AH344)</f>
        <v>36088</v>
      </c>
      <c r="AI345" s="256">
        <f>ROUND(((AH345/AG345-1)*100), 1)</f>
        <v>25.5</v>
      </c>
    </row>
    <row r="346" spans="1:35">
      <c r="A346" s="51" t="s">
        <v>111</v>
      </c>
    </row>
  </sheetData>
  <sortState ref="C282:BY299">
    <sortCondition descending="1" ref="H282:H299"/>
  </sortState>
  <mergeCells count="125">
    <mergeCell ref="AD257:AF257"/>
    <mergeCell ref="AG257:AI257"/>
    <mergeCell ref="AD307:AF307"/>
    <mergeCell ref="AG307:AI307"/>
    <mergeCell ref="AD3:AF3"/>
    <mergeCell ref="AG3:AI3"/>
    <mergeCell ref="AD64:AF64"/>
    <mergeCell ref="AG64:AI64"/>
    <mergeCell ref="AD109:AF109"/>
    <mergeCell ref="AG109:AI109"/>
    <mergeCell ref="AD160:AF160"/>
    <mergeCell ref="AG160:AI160"/>
    <mergeCell ref="AD210:AF210"/>
    <mergeCell ref="AG210:AI210"/>
    <mergeCell ref="X3:Z3"/>
    <mergeCell ref="AA3:AC3"/>
    <mergeCell ref="X64:Z64"/>
    <mergeCell ref="AA64:AC64"/>
    <mergeCell ref="X109:Z109"/>
    <mergeCell ref="AA109:AC109"/>
    <mergeCell ref="X160:Z160"/>
    <mergeCell ref="AA160:AC160"/>
    <mergeCell ref="X210:Z210"/>
    <mergeCell ref="AA210:AC210"/>
    <mergeCell ref="F160:F161"/>
    <mergeCell ref="F210:F211"/>
    <mergeCell ref="H160:H161"/>
    <mergeCell ref="H210:H211"/>
    <mergeCell ref="H257:H258"/>
    <mergeCell ref="H307:H308"/>
    <mergeCell ref="X257:Z257"/>
    <mergeCell ref="AA257:AC257"/>
    <mergeCell ref="X307:Z307"/>
    <mergeCell ref="AA307:AC307"/>
    <mergeCell ref="R257:T257"/>
    <mergeCell ref="U257:W257"/>
    <mergeCell ref="R307:T307"/>
    <mergeCell ref="U307:W307"/>
    <mergeCell ref="H3:H4"/>
    <mergeCell ref="H64:H65"/>
    <mergeCell ref="H109:H110"/>
    <mergeCell ref="L257:N257"/>
    <mergeCell ref="L307:N307"/>
    <mergeCell ref="O3:Q3"/>
    <mergeCell ref="O64:Q64"/>
    <mergeCell ref="O109:Q109"/>
    <mergeCell ref="O160:Q160"/>
    <mergeCell ref="O210:Q210"/>
    <mergeCell ref="O257:Q257"/>
    <mergeCell ref="O307:Q307"/>
    <mergeCell ref="L3:N3"/>
    <mergeCell ref="L64:N64"/>
    <mergeCell ref="L109:N109"/>
    <mergeCell ref="L160:N160"/>
    <mergeCell ref="L210:N210"/>
    <mergeCell ref="D3:D4"/>
    <mergeCell ref="F109:F110"/>
    <mergeCell ref="E64:E65"/>
    <mergeCell ref="F3:F4"/>
    <mergeCell ref="E3:E4"/>
    <mergeCell ref="D109:D110"/>
    <mergeCell ref="E109:E110"/>
    <mergeCell ref="F64:F65"/>
    <mergeCell ref="A3:C4"/>
    <mergeCell ref="B66:B90"/>
    <mergeCell ref="B91:B105"/>
    <mergeCell ref="A109:C110"/>
    <mergeCell ref="B5:B12"/>
    <mergeCell ref="A7:A8"/>
    <mergeCell ref="B13:B28"/>
    <mergeCell ref="B29:B47"/>
    <mergeCell ref="B48:B59"/>
    <mergeCell ref="B60:C60"/>
    <mergeCell ref="A64:C65"/>
    <mergeCell ref="D64:D65"/>
    <mergeCell ref="B228:B250"/>
    <mergeCell ref="B251:C251"/>
    <mergeCell ref="D210:D211"/>
    <mergeCell ref="E210:E211"/>
    <mergeCell ref="A257:C258"/>
    <mergeCell ref="D257:D258"/>
    <mergeCell ref="E257:E258"/>
    <mergeCell ref="B212:B227"/>
    <mergeCell ref="B111:B130"/>
    <mergeCell ref="B131:B153"/>
    <mergeCell ref="B154:C154"/>
    <mergeCell ref="A160:C161"/>
    <mergeCell ref="D160:D161"/>
    <mergeCell ref="B206:C206"/>
    <mergeCell ref="A210:C211"/>
    <mergeCell ref="E160:E161"/>
    <mergeCell ref="B345:C345"/>
    <mergeCell ref="B303:C303"/>
    <mergeCell ref="A307:C308"/>
    <mergeCell ref="I3:K3"/>
    <mergeCell ref="I64:K64"/>
    <mergeCell ref="I109:K109"/>
    <mergeCell ref="I160:K160"/>
    <mergeCell ref="I210:K210"/>
    <mergeCell ref="G3:G4"/>
    <mergeCell ref="G64:G65"/>
    <mergeCell ref="G109:G110"/>
    <mergeCell ref="G160:G161"/>
    <mergeCell ref="G210:G211"/>
    <mergeCell ref="I257:K257"/>
    <mergeCell ref="I307:K307"/>
    <mergeCell ref="F257:F258"/>
    <mergeCell ref="F307:F308"/>
    <mergeCell ref="D307:D308"/>
    <mergeCell ref="E307:E308"/>
    <mergeCell ref="G257:G258"/>
    <mergeCell ref="G307:G308"/>
    <mergeCell ref="A162:A163"/>
    <mergeCell ref="B162:B180"/>
    <mergeCell ref="B181:B205"/>
    <mergeCell ref="R3:T3"/>
    <mergeCell ref="U3:W3"/>
    <mergeCell ref="R64:T64"/>
    <mergeCell ref="U64:W64"/>
    <mergeCell ref="R109:T109"/>
    <mergeCell ref="U109:W109"/>
    <mergeCell ref="R160:T160"/>
    <mergeCell ref="U160:W160"/>
    <mergeCell ref="R210:T210"/>
    <mergeCell ref="U210:W210"/>
  </mergeCells>
  <phoneticPr fontId="2" type="noConversion"/>
  <printOptions horizontalCentered="1"/>
  <pageMargins left="0.19685039370078741" right="0.19685039370078741" top="0.74803149606299213" bottom="0.55118110236220474" header="0.31496062992125984" footer="0.31496062992125984"/>
  <pageSetup paperSize="9" scale="88" orientation="portrait" r:id="rId1"/>
  <rowBreaks count="6" manualBreakCount="6">
    <brk id="61" max="16383" man="1"/>
    <brk id="106" max="16383" man="1"/>
    <brk id="156" max="16383" man="1"/>
    <brk id="207" max="16383" man="1"/>
    <brk id="253" max="16383" man="1"/>
    <brk id="30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97"/>
  <sheetViews>
    <sheetView workbookViewId="0">
      <pane xSplit="7" ySplit="4" topLeftCell="AC5" activePane="bottomRight" state="frozen"/>
      <selection pane="topRight" activeCell="H1" sqref="H1"/>
      <selection pane="bottomLeft" activeCell="A5" sqref="A5"/>
      <selection pane="bottomRight"/>
    </sheetView>
  </sheetViews>
  <sheetFormatPr defaultRowHeight="16.5"/>
  <cols>
    <col min="1" max="1" width="6" style="51" customWidth="1"/>
    <col min="2" max="2" width="18.875" style="2" customWidth="1"/>
    <col min="3" max="4" width="11" style="59" hidden="1" customWidth="1"/>
    <col min="5" max="6" width="11" style="222" hidden="1" customWidth="1"/>
    <col min="7" max="7" width="11" style="595" customWidth="1"/>
    <col min="8" max="8" width="11" style="623" hidden="1" customWidth="1"/>
    <col min="9" max="9" width="11" style="595" hidden="1" customWidth="1"/>
    <col min="10" max="10" width="9" hidden="1" customWidth="1"/>
    <col min="11" max="12" width="11" style="304" hidden="1" customWidth="1"/>
    <col min="13" max="13" width="9" style="277" hidden="1" customWidth="1"/>
    <col min="14" max="15" width="11" style="595" hidden="1" customWidth="1"/>
    <col min="16" max="16" width="9" style="277" hidden="1" customWidth="1"/>
    <col min="17" max="18" width="11" style="304" hidden="1" customWidth="1"/>
    <col min="19" max="19" width="9" style="277" hidden="1" customWidth="1"/>
    <col min="20" max="21" width="11" style="595" hidden="1" customWidth="1"/>
    <col min="22" max="22" width="9" style="277" hidden="1" customWidth="1"/>
    <col min="23" max="24" width="11" style="304" hidden="1" customWidth="1"/>
    <col min="25" max="25" width="9" style="277" hidden="1" customWidth="1"/>
    <col min="26" max="27" width="11" style="623" hidden="1" customWidth="1"/>
    <col min="28" max="28" width="9" style="277" hidden="1" customWidth="1"/>
    <col min="29" max="30" width="11" style="304" customWidth="1"/>
    <col min="31" max="31" width="9" style="277" customWidth="1"/>
    <col min="32" max="33" width="11" style="595" customWidth="1"/>
    <col min="34" max="34" width="9" style="277" customWidth="1"/>
  </cols>
  <sheetData>
    <row r="1" spans="1:34">
      <c r="A1" s="77" t="s">
        <v>230</v>
      </c>
      <c r="B1" s="78"/>
      <c r="C1" s="98"/>
      <c r="G1" s="267" t="s">
        <v>231</v>
      </c>
      <c r="H1" s="645"/>
      <c r="I1" s="569"/>
      <c r="J1" s="264"/>
      <c r="K1" s="98"/>
      <c r="L1" s="98"/>
      <c r="M1" s="264"/>
      <c r="N1" s="569"/>
      <c r="O1" s="569"/>
      <c r="P1" s="264"/>
      <c r="Q1" s="98"/>
      <c r="R1" s="98"/>
      <c r="S1" s="264"/>
      <c r="T1" s="569"/>
      <c r="U1" s="569"/>
      <c r="V1" s="264"/>
      <c r="W1" s="98"/>
      <c r="X1" s="98"/>
      <c r="Y1" s="264"/>
      <c r="Z1" s="645"/>
      <c r="AA1" s="645"/>
      <c r="AB1" s="264"/>
      <c r="AC1" s="98"/>
      <c r="AD1" s="98"/>
      <c r="AE1" s="264"/>
      <c r="AF1" s="569"/>
      <c r="AG1" s="569"/>
      <c r="AH1" s="264"/>
    </row>
    <row r="2" spans="1:34">
      <c r="B2" s="26"/>
      <c r="C2" s="71"/>
      <c r="D2" s="71"/>
      <c r="E2" s="266"/>
      <c r="F2" s="266"/>
      <c r="G2" s="567"/>
      <c r="H2" s="624"/>
      <c r="I2" s="567"/>
      <c r="J2" s="262" t="s">
        <v>87</v>
      </c>
      <c r="K2" s="266"/>
      <c r="L2" s="266"/>
      <c r="M2" s="262"/>
      <c r="N2" s="567"/>
      <c r="O2" s="567"/>
      <c r="P2" s="262" t="s">
        <v>87</v>
      </c>
      <c r="Q2" s="266"/>
      <c r="R2" s="266"/>
      <c r="S2" s="262"/>
      <c r="T2" s="567"/>
      <c r="U2" s="567"/>
      <c r="V2" s="262" t="s">
        <v>87</v>
      </c>
      <c r="W2" s="266"/>
      <c r="X2" s="266"/>
      <c r="Y2" s="262"/>
      <c r="Z2" s="624"/>
      <c r="AA2" s="624"/>
      <c r="AB2" s="262" t="s">
        <v>87</v>
      </c>
      <c r="AC2" s="266"/>
      <c r="AD2" s="266"/>
      <c r="AE2" s="262"/>
      <c r="AF2" s="567"/>
      <c r="AG2" s="567"/>
      <c r="AH2" s="262" t="s">
        <v>87</v>
      </c>
    </row>
    <row r="3" spans="1:34">
      <c r="A3" s="733" t="s">
        <v>88</v>
      </c>
      <c r="B3" s="733"/>
      <c r="C3" s="855" t="s">
        <v>2</v>
      </c>
      <c r="D3" s="855" t="s">
        <v>74</v>
      </c>
      <c r="E3" s="855" t="s">
        <v>76</v>
      </c>
      <c r="F3" s="850" t="s">
        <v>294</v>
      </c>
      <c r="G3" s="850" t="s">
        <v>431</v>
      </c>
      <c r="H3" s="864" t="s">
        <v>33</v>
      </c>
      <c r="I3" s="749"/>
      <c r="J3" s="733"/>
      <c r="K3" s="837" t="s">
        <v>471</v>
      </c>
      <c r="L3" s="838"/>
      <c r="M3" s="839"/>
      <c r="N3" s="837" t="s">
        <v>472</v>
      </c>
      <c r="O3" s="838"/>
      <c r="P3" s="839"/>
      <c r="Q3" s="837" t="s">
        <v>477</v>
      </c>
      <c r="R3" s="838"/>
      <c r="S3" s="839"/>
      <c r="T3" s="837" t="s">
        <v>478</v>
      </c>
      <c r="U3" s="838"/>
      <c r="V3" s="839"/>
      <c r="W3" s="837" t="s">
        <v>484</v>
      </c>
      <c r="X3" s="838"/>
      <c r="Y3" s="839"/>
      <c r="Z3" s="837" t="s">
        <v>486</v>
      </c>
      <c r="AA3" s="838"/>
      <c r="AB3" s="839"/>
      <c r="AC3" s="837" t="s">
        <v>492</v>
      </c>
      <c r="AD3" s="838"/>
      <c r="AE3" s="839"/>
      <c r="AF3" s="837" t="s">
        <v>493</v>
      </c>
      <c r="AG3" s="838"/>
      <c r="AH3" s="839"/>
    </row>
    <row r="4" spans="1:34">
      <c r="A4" s="733"/>
      <c r="B4" s="733"/>
      <c r="C4" s="855"/>
      <c r="D4" s="855"/>
      <c r="E4" s="855"/>
      <c r="F4" s="851"/>
      <c r="G4" s="851"/>
      <c r="H4" s="698" t="s">
        <v>431</v>
      </c>
      <c r="I4" s="533" t="s">
        <v>503</v>
      </c>
      <c r="J4" s="531" t="s">
        <v>5</v>
      </c>
      <c r="K4" s="535" t="s">
        <v>431</v>
      </c>
      <c r="L4" s="533" t="s">
        <v>503</v>
      </c>
      <c r="M4" s="531" t="s">
        <v>5</v>
      </c>
      <c r="N4" s="535" t="s">
        <v>431</v>
      </c>
      <c r="O4" s="533" t="s">
        <v>503</v>
      </c>
      <c r="P4" s="531" t="s">
        <v>5</v>
      </c>
      <c r="Q4" s="535" t="s">
        <v>431</v>
      </c>
      <c r="R4" s="533" t="s">
        <v>503</v>
      </c>
      <c r="S4" s="531" t="s">
        <v>5</v>
      </c>
      <c r="T4" s="535" t="s">
        <v>431</v>
      </c>
      <c r="U4" s="533" t="s">
        <v>503</v>
      </c>
      <c r="V4" s="531" t="s">
        <v>5</v>
      </c>
      <c r="W4" s="535" t="s">
        <v>431</v>
      </c>
      <c r="X4" s="533" t="s">
        <v>503</v>
      </c>
      <c r="Y4" s="531" t="s">
        <v>5</v>
      </c>
      <c r="Z4" s="698" t="s">
        <v>431</v>
      </c>
      <c r="AA4" s="697" t="s">
        <v>503</v>
      </c>
      <c r="AB4" s="531" t="s">
        <v>5</v>
      </c>
      <c r="AC4" s="535" t="s">
        <v>431</v>
      </c>
      <c r="AD4" s="533" t="s">
        <v>503</v>
      </c>
      <c r="AE4" s="531" t="s">
        <v>5</v>
      </c>
      <c r="AF4" s="535" t="s">
        <v>431</v>
      </c>
      <c r="AG4" s="533" t="s">
        <v>503</v>
      </c>
      <c r="AH4" s="531" t="s">
        <v>5</v>
      </c>
    </row>
    <row r="5" spans="1:34">
      <c r="A5" s="7"/>
      <c r="B5" s="81" t="s">
        <v>44</v>
      </c>
      <c r="C5" s="62">
        <v>2409</v>
      </c>
      <c r="D5" s="62">
        <v>1567</v>
      </c>
      <c r="E5" s="62">
        <v>2153</v>
      </c>
      <c r="F5" s="62">
        <v>5932</v>
      </c>
      <c r="G5" s="62">
        <v>9793</v>
      </c>
      <c r="H5" s="634">
        <v>484</v>
      </c>
      <c r="I5" s="584">
        <v>723</v>
      </c>
      <c r="J5" s="433">
        <f t="shared" ref="J5:J24" si="0">ROUND(((I5/H5-1)*100), 1)</f>
        <v>49.4</v>
      </c>
      <c r="K5" s="269">
        <f t="shared" ref="K5:K22" si="1">N5-H5</f>
        <v>791</v>
      </c>
      <c r="L5" s="365">
        <f t="shared" ref="L5:L22" si="2">O5-I5</f>
        <v>574</v>
      </c>
      <c r="M5" s="433">
        <f t="shared" ref="M5:M21" si="3">ROUND(((L5/K5-1)*100), 1)</f>
        <v>-27.4</v>
      </c>
      <c r="N5" s="584">
        <v>1275</v>
      </c>
      <c r="O5" s="584">
        <v>1297</v>
      </c>
      <c r="P5" s="433">
        <f t="shared" ref="P5:P19" si="4">ROUND(((O5/N5-1)*100), 1)</f>
        <v>1.7</v>
      </c>
      <c r="Q5" s="269">
        <f t="shared" ref="Q5:Q18" si="5">T5-N5</f>
        <v>1034</v>
      </c>
      <c r="R5" s="365">
        <f t="shared" ref="R5:R18" si="6">U5-O5</f>
        <v>392</v>
      </c>
      <c r="S5" s="433">
        <f t="shared" ref="S5:S24" si="7">ROUND(((R5/Q5-1)*100), 1)</f>
        <v>-62.1</v>
      </c>
      <c r="T5" s="709">
        <v>2309</v>
      </c>
      <c r="U5" s="584">
        <v>1689</v>
      </c>
      <c r="V5" s="433">
        <f t="shared" ref="V5:V24" si="8">ROUND(((U5/T5-1)*100), 1)</f>
        <v>-26.9</v>
      </c>
      <c r="W5" s="269">
        <f t="shared" ref="W5:W22" si="9">Z5-T5</f>
        <v>619</v>
      </c>
      <c r="X5" s="365">
        <f t="shared" ref="X5:X22" si="10">AA5-U5</f>
        <v>425</v>
      </c>
      <c r="Y5" s="433">
        <f t="shared" ref="Y5:Y18" si="11">ROUND(((X5/W5-1)*100), 1)</f>
        <v>-31.3</v>
      </c>
      <c r="Z5" s="718">
        <v>2928</v>
      </c>
      <c r="AA5" s="634">
        <v>2114</v>
      </c>
      <c r="AB5" s="433">
        <f t="shared" ref="AB5:AB24" si="12">ROUND(((AA5/Z5-1)*100), 1)</f>
        <v>-27.8</v>
      </c>
      <c r="AC5" s="269">
        <f t="shared" ref="AC5:AC7" si="13">AF5-Z5</f>
        <v>394</v>
      </c>
      <c r="AD5" s="365">
        <f t="shared" ref="AD5:AD7" si="14">AG5-AA5</f>
        <v>314</v>
      </c>
      <c r="AE5" s="433">
        <f t="shared" ref="AE5:AE7" si="15">ROUND(((AD5/AC5-1)*100), 1)</f>
        <v>-20.3</v>
      </c>
      <c r="AF5" s="584">
        <v>3322</v>
      </c>
      <c r="AG5" s="584">
        <v>2428</v>
      </c>
      <c r="AH5" s="433">
        <f t="shared" ref="AH5:AH23" si="16">ROUND(((AG5/AF5-1)*100), 1)</f>
        <v>-26.9</v>
      </c>
    </row>
    <row r="6" spans="1:34">
      <c r="A6" s="3" t="s">
        <v>114</v>
      </c>
      <c r="B6" s="611" t="s">
        <v>49</v>
      </c>
      <c r="C6" s="608">
        <v>3257</v>
      </c>
      <c r="D6" s="608">
        <v>3832</v>
      </c>
      <c r="E6" s="608">
        <v>5723</v>
      </c>
      <c r="F6" s="608">
        <v>7218</v>
      </c>
      <c r="G6" s="608">
        <v>4807</v>
      </c>
      <c r="H6" s="630">
        <v>229</v>
      </c>
      <c r="I6" s="589">
        <v>585</v>
      </c>
      <c r="J6" s="571">
        <f t="shared" si="0"/>
        <v>155.5</v>
      </c>
      <c r="K6" s="578">
        <f t="shared" si="1"/>
        <v>583</v>
      </c>
      <c r="L6" s="589">
        <f t="shared" si="2"/>
        <v>556</v>
      </c>
      <c r="M6" s="571">
        <f t="shared" si="3"/>
        <v>-4.5999999999999996</v>
      </c>
      <c r="N6" s="589">
        <v>812</v>
      </c>
      <c r="O6" s="589">
        <v>1141</v>
      </c>
      <c r="P6" s="571">
        <f t="shared" si="4"/>
        <v>40.5</v>
      </c>
      <c r="Q6" s="578">
        <f t="shared" si="5"/>
        <v>958</v>
      </c>
      <c r="R6" s="589">
        <f t="shared" si="6"/>
        <v>699</v>
      </c>
      <c r="S6" s="571">
        <f t="shared" si="7"/>
        <v>-27</v>
      </c>
      <c r="T6" s="710">
        <v>1770</v>
      </c>
      <c r="U6" s="589">
        <v>1840</v>
      </c>
      <c r="V6" s="571">
        <f t="shared" si="8"/>
        <v>4</v>
      </c>
      <c r="W6" s="578">
        <f t="shared" si="9"/>
        <v>168</v>
      </c>
      <c r="X6" s="589">
        <f t="shared" si="10"/>
        <v>586</v>
      </c>
      <c r="Y6" s="571">
        <f t="shared" si="11"/>
        <v>248.8</v>
      </c>
      <c r="Z6" s="719">
        <v>1938</v>
      </c>
      <c r="AA6" s="630">
        <v>2426</v>
      </c>
      <c r="AB6" s="571">
        <f t="shared" si="12"/>
        <v>25.2</v>
      </c>
      <c r="AC6" s="578">
        <f t="shared" si="13"/>
        <v>163</v>
      </c>
      <c r="AD6" s="589">
        <f t="shared" si="14"/>
        <v>543</v>
      </c>
      <c r="AE6" s="571">
        <f t="shared" si="15"/>
        <v>233.1</v>
      </c>
      <c r="AF6" s="589">
        <v>2101</v>
      </c>
      <c r="AG6" s="589">
        <v>2969</v>
      </c>
      <c r="AH6" s="571">
        <f t="shared" si="16"/>
        <v>41.3</v>
      </c>
    </row>
    <row r="7" spans="1:34">
      <c r="A7" s="3"/>
      <c r="B7" s="39" t="s">
        <v>43</v>
      </c>
      <c r="C7" s="40">
        <v>6615</v>
      </c>
      <c r="D7" s="40">
        <v>6502</v>
      </c>
      <c r="E7" s="40">
        <v>5551</v>
      </c>
      <c r="F7" s="40">
        <v>5160</v>
      </c>
      <c r="G7" s="608">
        <v>4668</v>
      </c>
      <c r="H7" s="630">
        <v>357</v>
      </c>
      <c r="I7" s="589">
        <v>217</v>
      </c>
      <c r="J7" s="235">
        <f t="shared" si="0"/>
        <v>-39.200000000000003</v>
      </c>
      <c r="K7" s="270">
        <f t="shared" si="1"/>
        <v>332</v>
      </c>
      <c r="L7" s="366">
        <f t="shared" si="2"/>
        <v>189</v>
      </c>
      <c r="M7" s="235">
        <f t="shared" si="3"/>
        <v>-43.1</v>
      </c>
      <c r="N7" s="589">
        <v>689</v>
      </c>
      <c r="O7" s="589">
        <v>406</v>
      </c>
      <c r="P7" s="235">
        <f t="shared" si="4"/>
        <v>-41.1</v>
      </c>
      <c r="Q7" s="270">
        <f t="shared" si="5"/>
        <v>397</v>
      </c>
      <c r="R7" s="366">
        <f t="shared" si="6"/>
        <v>249</v>
      </c>
      <c r="S7" s="235">
        <f t="shared" si="7"/>
        <v>-37.299999999999997</v>
      </c>
      <c r="T7" s="710">
        <v>1086</v>
      </c>
      <c r="U7" s="589">
        <v>655</v>
      </c>
      <c r="V7" s="235">
        <f t="shared" si="8"/>
        <v>-39.700000000000003</v>
      </c>
      <c r="W7" s="270">
        <f t="shared" si="9"/>
        <v>421</v>
      </c>
      <c r="X7" s="366">
        <f t="shared" si="10"/>
        <v>357</v>
      </c>
      <c r="Y7" s="235">
        <f t="shared" si="11"/>
        <v>-15.2</v>
      </c>
      <c r="Z7" s="719">
        <v>1507</v>
      </c>
      <c r="AA7" s="630">
        <v>1012</v>
      </c>
      <c r="AB7" s="235">
        <f t="shared" si="12"/>
        <v>-32.799999999999997</v>
      </c>
      <c r="AC7" s="270">
        <f t="shared" si="13"/>
        <v>397</v>
      </c>
      <c r="AD7" s="366">
        <f t="shared" si="14"/>
        <v>310</v>
      </c>
      <c r="AE7" s="235">
        <f t="shared" si="15"/>
        <v>-21.9</v>
      </c>
      <c r="AF7" s="589">
        <v>1904</v>
      </c>
      <c r="AG7" s="589">
        <v>1322</v>
      </c>
      <c r="AH7" s="235">
        <f t="shared" si="16"/>
        <v>-30.6</v>
      </c>
    </row>
    <row r="8" spans="1:34">
      <c r="A8" s="3"/>
      <c r="B8" s="610" t="s">
        <v>300</v>
      </c>
      <c r="C8" s="324">
        <v>5</v>
      </c>
      <c r="D8" s="324">
        <v>12</v>
      </c>
      <c r="E8" s="324">
        <v>1037</v>
      </c>
      <c r="F8" s="324">
        <v>2168</v>
      </c>
      <c r="G8" s="608">
        <v>4435</v>
      </c>
      <c r="H8" s="635">
        <v>118</v>
      </c>
      <c r="I8" s="573">
        <v>589</v>
      </c>
      <c r="J8" s="572">
        <f t="shared" si="0"/>
        <v>399.2</v>
      </c>
      <c r="K8" s="577">
        <f t="shared" si="1"/>
        <v>195</v>
      </c>
      <c r="L8" s="573">
        <f t="shared" si="2"/>
        <v>504</v>
      </c>
      <c r="M8" s="572">
        <f t="shared" si="3"/>
        <v>158.5</v>
      </c>
      <c r="N8" s="573">
        <v>313</v>
      </c>
      <c r="O8" s="573">
        <v>1093</v>
      </c>
      <c r="P8" s="572">
        <f t="shared" si="4"/>
        <v>249.2</v>
      </c>
      <c r="Q8" s="577">
        <f t="shared" si="5"/>
        <v>334</v>
      </c>
      <c r="R8" s="573">
        <f t="shared" si="6"/>
        <v>549</v>
      </c>
      <c r="S8" s="572">
        <f t="shared" si="7"/>
        <v>64.400000000000006</v>
      </c>
      <c r="T8" s="710">
        <v>647</v>
      </c>
      <c r="U8" s="589">
        <v>1642</v>
      </c>
      <c r="V8" s="572">
        <f t="shared" si="8"/>
        <v>153.80000000000001</v>
      </c>
      <c r="W8" s="577">
        <f t="shared" si="9"/>
        <v>499</v>
      </c>
      <c r="X8" s="573">
        <f t="shared" si="10"/>
        <v>516</v>
      </c>
      <c r="Y8" s="572">
        <f t="shared" si="11"/>
        <v>3.4</v>
      </c>
      <c r="Z8" s="719">
        <v>1146</v>
      </c>
      <c r="AA8" s="630">
        <v>2158</v>
      </c>
      <c r="AB8" s="572">
        <f t="shared" si="12"/>
        <v>88.3</v>
      </c>
      <c r="AC8" s="578">
        <f t="shared" ref="AC8:AC24" si="17">AF8-Z8</f>
        <v>396</v>
      </c>
      <c r="AD8" s="589">
        <f t="shared" ref="AD8:AD24" si="18">AG8-AA8</f>
        <v>359</v>
      </c>
      <c r="AE8" s="571">
        <f t="shared" ref="AE8:AE24" si="19">ROUND(((AD8/AC8-1)*100), 1)</f>
        <v>-9.3000000000000007</v>
      </c>
      <c r="AF8" s="589">
        <v>1542</v>
      </c>
      <c r="AG8" s="589">
        <v>2517</v>
      </c>
      <c r="AH8" s="572">
        <f t="shared" si="16"/>
        <v>63.2</v>
      </c>
    </row>
    <row r="9" spans="1:34">
      <c r="A9" s="3"/>
      <c r="B9" s="39" t="s">
        <v>47</v>
      </c>
      <c r="C9" s="40">
        <v>6053</v>
      </c>
      <c r="D9" s="40">
        <v>5568</v>
      </c>
      <c r="E9" s="40">
        <v>4519</v>
      </c>
      <c r="F9" s="40">
        <v>5368</v>
      </c>
      <c r="G9" s="608">
        <v>4288</v>
      </c>
      <c r="H9" s="630">
        <v>418</v>
      </c>
      <c r="I9" s="589">
        <v>306</v>
      </c>
      <c r="J9" s="235">
        <f t="shared" si="0"/>
        <v>-26.8</v>
      </c>
      <c r="K9" s="270">
        <f t="shared" si="1"/>
        <v>411</v>
      </c>
      <c r="L9" s="366">
        <f t="shared" si="2"/>
        <v>377</v>
      </c>
      <c r="M9" s="235">
        <f t="shared" si="3"/>
        <v>-8.3000000000000007</v>
      </c>
      <c r="N9" s="589">
        <v>829</v>
      </c>
      <c r="O9" s="589">
        <v>683</v>
      </c>
      <c r="P9" s="235">
        <f t="shared" si="4"/>
        <v>-17.600000000000001</v>
      </c>
      <c r="Q9" s="270">
        <f t="shared" si="5"/>
        <v>442</v>
      </c>
      <c r="R9" s="366">
        <f t="shared" si="6"/>
        <v>324</v>
      </c>
      <c r="S9" s="235">
        <f t="shared" si="7"/>
        <v>-26.7</v>
      </c>
      <c r="T9" s="710">
        <v>1271</v>
      </c>
      <c r="U9" s="589">
        <v>1007</v>
      </c>
      <c r="V9" s="235">
        <f t="shared" si="8"/>
        <v>-20.8</v>
      </c>
      <c r="W9" s="270">
        <f t="shared" si="9"/>
        <v>410</v>
      </c>
      <c r="X9" s="366">
        <f t="shared" si="10"/>
        <v>331</v>
      </c>
      <c r="Y9" s="235">
        <f t="shared" si="11"/>
        <v>-19.3</v>
      </c>
      <c r="Z9" s="719">
        <v>1681</v>
      </c>
      <c r="AA9" s="630">
        <v>1338</v>
      </c>
      <c r="AB9" s="235">
        <f t="shared" si="12"/>
        <v>-20.399999999999999</v>
      </c>
      <c r="AC9" s="578">
        <f t="shared" si="17"/>
        <v>407</v>
      </c>
      <c r="AD9" s="589">
        <f t="shared" si="18"/>
        <v>335</v>
      </c>
      <c r="AE9" s="571">
        <f t="shared" si="19"/>
        <v>-17.7</v>
      </c>
      <c r="AF9" s="589">
        <v>2088</v>
      </c>
      <c r="AG9" s="589">
        <v>1673</v>
      </c>
      <c r="AH9" s="235">
        <f t="shared" si="16"/>
        <v>-19.899999999999999</v>
      </c>
    </row>
    <row r="10" spans="1:34">
      <c r="A10" s="3"/>
      <c r="B10" s="39" t="s">
        <v>45</v>
      </c>
      <c r="C10" s="40">
        <v>1941</v>
      </c>
      <c r="D10" s="40">
        <v>1788</v>
      </c>
      <c r="E10" s="40">
        <v>2068</v>
      </c>
      <c r="F10" s="40">
        <v>2241</v>
      </c>
      <c r="G10" s="608">
        <v>3676</v>
      </c>
      <c r="H10" s="630">
        <v>401</v>
      </c>
      <c r="I10" s="589">
        <v>271</v>
      </c>
      <c r="J10" s="235">
        <f t="shared" si="0"/>
        <v>-32.4</v>
      </c>
      <c r="K10" s="270">
        <f t="shared" si="1"/>
        <v>428</v>
      </c>
      <c r="L10" s="366">
        <f t="shared" si="2"/>
        <v>558</v>
      </c>
      <c r="M10" s="235">
        <f t="shared" si="3"/>
        <v>30.4</v>
      </c>
      <c r="N10" s="589">
        <v>829</v>
      </c>
      <c r="O10" s="589">
        <v>829</v>
      </c>
      <c r="P10" s="235">
        <f t="shared" si="4"/>
        <v>0</v>
      </c>
      <c r="Q10" s="270">
        <f t="shared" si="5"/>
        <v>447</v>
      </c>
      <c r="R10" s="366">
        <f t="shared" si="6"/>
        <v>830</v>
      </c>
      <c r="S10" s="235">
        <f t="shared" si="7"/>
        <v>85.7</v>
      </c>
      <c r="T10" s="710">
        <v>1276</v>
      </c>
      <c r="U10" s="589">
        <v>1659</v>
      </c>
      <c r="V10" s="235">
        <f t="shared" si="8"/>
        <v>30</v>
      </c>
      <c r="W10" s="270">
        <f t="shared" si="9"/>
        <v>328</v>
      </c>
      <c r="X10" s="366">
        <f t="shared" si="10"/>
        <v>597</v>
      </c>
      <c r="Y10" s="235">
        <f t="shared" si="11"/>
        <v>82</v>
      </c>
      <c r="Z10" s="719">
        <v>1604</v>
      </c>
      <c r="AA10" s="630">
        <v>2256</v>
      </c>
      <c r="AB10" s="235">
        <f t="shared" si="12"/>
        <v>40.6</v>
      </c>
      <c r="AC10" s="578">
        <f t="shared" si="17"/>
        <v>39</v>
      </c>
      <c r="AD10" s="589">
        <f t="shared" si="18"/>
        <v>617</v>
      </c>
      <c r="AE10" s="571">
        <f t="shared" si="19"/>
        <v>1482.1</v>
      </c>
      <c r="AF10" s="589">
        <v>1643</v>
      </c>
      <c r="AG10" s="589">
        <v>2873</v>
      </c>
      <c r="AH10" s="235">
        <f t="shared" si="16"/>
        <v>74.900000000000006</v>
      </c>
    </row>
    <row r="11" spans="1:34">
      <c r="A11" s="3"/>
      <c r="B11" s="39" t="s">
        <v>46</v>
      </c>
      <c r="C11" s="40">
        <v>4413</v>
      </c>
      <c r="D11" s="40">
        <v>5983</v>
      </c>
      <c r="E11" s="40">
        <v>3864</v>
      </c>
      <c r="F11" s="40">
        <v>3832</v>
      </c>
      <c r="G11" s="608">
        <v>3319</v>
      </c>
      <c r="H11" s="630">
        <v>502</v>
      </c>
      <c r="I11" s="589">
        <v>216</v>
      </c>
      <c r="J11" s="571">
        <f t="shared" si="0"/>
        <v>-57</v>
      </c>
      <c r="K11" s="270">
        <f t="shared" si="1"/>
        <v>319</v>
      </c>
      <c r="L11" s="366">
        <f t="shared" si="2"/>
        <v>219</v>
      </c>
      <c r="M11" s="235">
        <f t="shared" si="3"/>
        <v>-31.3</v>
      </c>
      <c r="N11" s="589">
        <v>821</v>
      </c>
      <c r="O11" s="589">
        <v>435</v>
      </c>
      <c r="P11" s="235">
        <f t="shared" si="4"/>
        <v>-47</v>
      </c>
      <c r="Q11" s="270">
        <f t="shared" si="5"/>
        <v>331</v>
      </c>
      <c r="R11" s="366">
        <f t="shared" si="6"/>
        <v>353</v>
      </c>
      <c r="S11" s="235">
        <f t="shared" si="7"/>
        <v>6.6</v>
      </c>
      <c r="T11" s="710">
        <v>1152</v>
      </c>
      <c r="U11" s="589">
        <v>788</v>
      </c>
      <c r="V11" s="235">
        <f t="shared" si="8"/>
        <v>-31.6</v>
      </c>
      <c r="W11" s="270">
        <f t="shared" si="9"/>
        <v>152</v>
      </c>
      <c r="X11" s="366">
        <f t="shared" si="10"/>
        <v>284</v>
      </c>
      <c r="Y11" s="235">
        <f t="shared" si="11"/>
        <v>86.8</v>
      </c>
      <c r="Z11" s="719">
        <v>1304</v>
      </c>
      <c r="AA11" s="630">
        <v>1072</v>
      </c>
      <c r="AB11" s="235">
        <f t="shared" si="12"/>
        <v>-17.8</v>
      </c>
      <c r="AC11" s="578">
        <f t="shared" si="17"/>
        <v>157</v>
      </c>
      <c r="AD11" s="589">
        <f t="shared" si="18"/>
        <v>166</v>
      </c>
      <c r="AE11" s="571">
        <f t="shared" si="19"/>
        <v>5.7</v>
      </c>
      <c r="AF11" s="589">
        <v>1461</v>
      </c>
      <c r="AG11" s="589">
        <v>1238</v>
      </c>
      <c r="AH11" s="235">
        <f t="shared" si="16"/>
        <v>-15.3</v>
      </c>
    </row>
    <row r="12" spans="1:34" s="167" customFormat="1">
      <c r="A12" s="309"/>
      <c r="B12" s="611" t="s">
        <v>94</v>
      </c>
      <c r="C12" s="608">
        <v>3336</v>
      </c>
      <c r="D12" s="608">
        <v>3772</v>
      </c>
      <c r="E12" s="608">
        <v>3207</v>
      </c>
      <c r="F12" s="608">
        <v>2723</v>
      </c>
      <c r="G12" s="608">
        <v>2710</v>
      </c>
      <c r="H12" s="630">
        <v>345</v>
      </c>
      <c r="I12" s="589">
        <v>276</v>
      </c>
      <c r="J12" s="571">
        <f t="shared" si="0"/>
        <v>-20</v>
      </c>
      <c r="K12" s="578">
        <f t="shared" si="1"/>
        <v>349</v>
      </c>
      <c r="L12" s="589">
        <f t="shared" si="2"/>
        <v>304</v>
      </c>
      <c r="M12" s="571">
        <f t="shared" si="3"/>
        <v>-12.9</v>
      </c>
      <c r="N12" s="589">
        <v>694</v>
      </c>
      <c r="O12" s="589">
        <v>580</v>
      </c>
      <c r="P12" s="571">
        <f t="shared" si="4"/>
        <v>-16.399999999999999</v>
      </c>
      <c r="Q12" s="578">
        <f t="shared" si="5"/>
        <v>336</v>
      </c>
      <c r="R12" s="589">
        <f t="shared" si="6"/>
        <v>255</v>
      </c>
      <c r="S12" s="571">
        <f t="shared" si="7"/>
        <v>-24.1</v>
      </c>
      <c r="T12" s="710">
        <v>1030</v>
      </c>
      <c r="U12" s="589">
        <v>835</v>
      </c>
      <c r="V12" s="571">
        <f t="shared" si="8"/>
        <v>-18.899999999999999</v>
      </c>
      <c r="W12" s="578">
        <f t="shared" si="9"/>
        <v>308</v>
      </c>
      <c r="X12" s="589">
        <f t="shared" si="10"/>
        <v>425</v>
      </c>
      <c r="Y12" s="571">
        <f t="shared" si="11"/>
        <v>38</v>
      </c>
      <c r="Z12" s="719">
        <v>1338</v>
      </c>
      <c r="AA12" s="630">
        <v>1260</v>
      </c>
      <c r="AB12" s="571">
        <f t="shared" si="12"/>
        <v>-5.8</v>
      </c>
      <c r="AC12" s="578">
        <f t="shared" si="17"/>
        <v>5</v>
      </c>
      <c r="AD12" s="589">
        <f t="shared" si="18"/>
        <v>342</v>
      </c>
      <c r="AE12" s="571">
        <f t="shared" si="19"/>
        <v>6740</v>
      </c>
      <c r="AF12" s="589">
        <v>1343</v>
      </c>
      <c r="AG12" s="589">
        <v>1602</v>
      </c>
      <c r="AH12" s="571">
        <f t="shared" si="16"/>
        <v>19.3</v>
      </c>
    </row>
    <row r="13" spans="1:34">
      <c r="A13" s="3"/>
      <c r="B13" s="39" t="s">
        <v>93</v>
      </c>
      <c r="C13" s="40">
        <v>634</v>
      </c>
      <c r="D13" s="40">
        <v>630</v>
      </c>
      <c r="E13" s="40">
        <v>796</v>
      </c>
      <c r="F13" s="40">
        <v>651</v>
      </c>
      <c r="G13" s="608">
        <v>798</v>
      </c>
      <c r="H13" s="630">
        <v>38</v>
      </c>
      <c r="I13" s="589">
        <v>91</v>
      </c>
      <c r="J13" s="571">
        <f t="shared" si="0"/>
        <v>139.5</v>
      </c>
      <c r="K13" s="270">
        <f t="shared" si="1"/>
        <v>57</v>
      </c>
      <c r="L13" s="366">
        <f t="shared" si="2"/>
        <v>48</v>
      </c>
      <c r="M13" s="235">
        <f t="shared" si="3"/>
        <v>-15.8</v>
      </c>
      <c r="N13" s="589">
        <v>95</v>
      </c>
      <c r="O13" s="589">
        <v>139</v>
      </c>
      <c r="P13" s="235">
        <f t="shared" si="4"/>
        <v>46.3</v>
      </c>
      <c r="Q13" s="270">
        <f t="shared" si="5"/>
        <v>109</v>
      </c>
      <c r="R13" s="366">
        <f t="shared" si="6"/>
        <v>126</v>
      </c>
      <c r="S13" s="235">
        <f t="shared" si="7"/>
        <v>15.6</v>
      </c>
      <c r="T13" s="710">
        <v>204</v>
      </c>
      <c r="U13" s="589">
        <v>265</v>
      </c>
      <c r="V13" s="235">
        <f t="shared" si="8"/>
        <v>29.9</v>
      </c>
      <c r="W13" s="270">
        <f t="shared" si="9"/>
        <v>51</v>
      </c>
      <c r="X13" s="366">
        <f t="shared" si="10"/>
        <v>67</v>
      </c>
      <c r="Y13" s="235">
        <f t="shared" si="11"/>
        <v>31.4</v>
      </c>
      <c r="Z13" s="719">
        <v>255</v>
      </c>
      <c r="AA13" s="630">
        <v>332</v>
      </c>
      <c r="AB13" s="235">
        <f t="shared" si="12"/>
        <v>30.2</v>
      </c>
      <c r="AC13" s="578">
        <f t="shared" si="17"/>
        <v>46</v>
      </c>
      <c r="AD13" s="589">
        <f t="shared" si="18"/>
        <v>61</v>
      </c>
      <c r="AE13" s="571">
        <f t="shared" si="19"/>
        <v>32.6</v>
      </c>
      <c r="AF13" s="589">
        <v>301</v>
      </c>
      <c r="AG13" s="589">
        <v>393</v>
      </c>
      <c r="AH13" s="235">
        <f t="shared" si="16"/>
        <v>30.6</v>
      </c>
    </row>
    <row r="14" spans="1:34">
      <c r="A14" s="3"/>
      <c r="B14" s="610" t="s">
        <v>447</v>
      </c>
      <c r="C14" s="324">
        <v>15</v>
      </c>
      <c r="D14" s="324">
        <v>154</v>
      </c>
      <c r="E14" s="324">
        <v>143</v>
      </c>
      <c r="F14" s="324">
        <v>254</v>
      </c>
      <c r="G14" s="608">
        <v>477</v>
      </c>
      <c r="H14" s="635">
        <v>49</v>
      </c>
      <c r="I14" s="573">
        <v>27</v>
      </c>
      <c r="J14" s="571">
        <f t="shared" si="0"/>
        <v>-44.9</v>
      </c>
      <c r="K14" s="577">
        <f t="shared" si="1"/>
        <v>75</v>
      </c>
      <c r="L14" s="573">
        <f t="shared" si="2"/>
        <v>5</v>
      </c>
      <c r="M14" s="572">
        <f t="shared" si="3"/>
        <v>-93.3</v>
      </c>
      <c r="N14" s="573">
        <v>124</v>
      </c>
      <c r="O14" s="573">
        <v>32</v>
      </c>
      <c r="P14" s="572">
        <f t="shared" si="4"/>
        <v>-74.2</v>
      </c>
      <c r="Q14" s="577">
        <f t="shared" si="5"/>
        <v>51</v>
      </c>
      <c r="R14" s="573">
        <f t="shared" si="6"/>
        <v>38</v>
      </c>
      <c r="S14" s="572">
        <f t="shared" si="7"/>
        <v>-25.5</v>
      </c>
      <c r="T14" s="710">
        <v>175</v>
      </c>
      <c r="U14" s="589">
        <v>70</v>
      </c>
      <c r="V14" s="571">
        <f t="shared" si="8"/>
        <v>-60</v>
      </c>
      <c r="W14" s="577">
        <f t="shared" si="9"/>
        <v>9</v>
      </c>
      <c r="X14" s="573">
        <f t="shared" si="10"/>
        <v>36</v>
      </c>
      <c r="Y14" s="572">
        <f t="shared" si="11"/>
        <v>300</v>
      </c>
      <c r="Z14" s="719">
        <v>184</v>
      </c>
      <c r="AA14" s="630">
        <v>106</v>
      </c>
      <c r="AB14" s="572">
        <f t="shared" si="12"/>
        <v>-42.4</v>
      </c>
      <c r="AC14" s="578">
        <f t="shared" si="17"/>
        <v>0</v>
      </c>
      <c r="AD14" s="589">
        <f t="shared" si="18"/>
        <v>40</v>
      </c>
      <c r="AE14" s="579">
        <v>0</v>
      </c>
      <c r="AF14" s="589">
        <v>184</v>
      </c>
      <c r="AG14" s="589">
        <v>146</v>
      </c>
      <c r="AH14" s="572">
        <f t="shared" si="16"/>
        <v>-20.7</v>
      </c>
    </row>
    <row r="15" spans="1:34">
      <c r="A15" s="3"/>
      <c r="B15" s="610" t="s">
        <v>58</v>
      </c>
      <c r="C15" s="324">
        <v>281</v>
      </c>
      <c r="D15" s="324">
        <v>14</v>
      </c>
      <c r="E15" s="324">
        <v>164</v>
      </c>
      <c r="F15" s="324">
        <v>278</v>
      </c>
      <c r="G15" s="608">
        <v>440</v>
      </c>
      <c r="H15" s="635">
        <v>30</v>
      </c>
      <c r="I15" s="573">
        <v>96</v>
      </c>
      <c r="J15" s="571">
        <f t="shared" si="0"/>
        <v>220</v>
      </c>
      <c r="K15" s="577">
        <f t="shared" si="1"/>
        <v>19</v>
      </c>
      <c r="L15" s="573">
        <f t="shared" si="2"/>
        <v>149</v>
      </c>
      <c r="M15" s="572">
        <f t="shared" si="3"/>
        <v>684.2</v>
      </c>
      <c r="N15" s="573">
        <v>49</v>
      </c>
      <c r="O15" s="573">
        <v>245</v>
      </c>
      <c r="P15" s="572">
        <f t="shared" si="4"/>
        <v>400</v>
      </c>
      <c r="Q15" s="577">
        <f t="shared" si="5"/>
        <v>57</v>
      </c>
      <c r="R15" s="573">
        <f t="shared" si="6"/>
        <v>112</v>
      </c>
      <c r="S15" s="572">
        <f t="shared" si="7"/>
        <v>96.5</v>
      </c>
      <c r="T15" s="710">
        <v>106</v>
      </c>
      <c r="U15" s="589">
        <v>357</v>
      </c>
      <c r="V15" s="571">
        <f t="shared" si="8"/>
        <v>236.8</v>
      </c>
      <c r="W15" s="577">
        <f t="shared" si="9"/>
        <v>4</v>
      </c>
      <c r="X15" s="573">
        <f t="shared" si="10"/>
        <v>75</v>
      </c>
      <c r="Y15" s="572">
        <f t="shared" si="11"/>
        <v>1775</v>
      </c>
      <c r="Z15" s="719">
        <v>110</v>
      </c>
      <c r="AA15" s="630">
        <v>432</v>
      </c>
      <c r="AB15" s="572">
        <f t="shared" si="12"/>
        <v>292.7</v>
      </c>
      <c r="AC15" s="578">
        <f t="shared" si="17"/>
        <v>5</v>
      </c>
      <c r="AD15" s="589">
        <f t="shared" si="18"/>
        <v>99</v>
      </c>
      <c r="AE15" s="571">
        <f t="shared" si="19"/>
        <v>1880</v>
      </c>
      <c r="AF15" s="589">
        <v>115</v>
      </c>
      <c r="AG15" s="589">
        <v>531</v>
      </c>
      <c r="AH15" s="572">
        <f t="shared" si="16"/>
        <v>361.7</v>
      </c>
    </row>
    <row r="16" spans="1:34">
      <c r="A16" s="3"/>
      <c r="B16" s="39" t="s">
        <v>109</v>
      </c>
      <c r="C16" s="40">
        <v>75</v>
      </c>
      <c r="D16" s="40">
        <v>267</v>
      </c>
      <c r="E16" s="40">
        <v>598</v>
      </c>
      <c r="F16" s="40">
        <v>668</v>
      </c>
      <c r="G16" s="608">
        <v>397</v>
      </c>
      <c r="H16" s="630">
        <v>38</v>
      </c>
      <c r="I16" s="589">
        <v>1</v>
      </c>
      <c r="J16" s="571">
        <f t="shared" si="0"/>
        <v>-97.4</v>
      </c>
      <c r="K16" s="270">
        <f t="shared" si="1"/>
        <v>60</v>
      </c>
      <c r="L16" s="366">
        <f t="shared" si="2"/>
        <v>1</v>
      </c>
      <c r="M16" s="235">
        <f t="shared" si="3"/>
        <v>-98.3</v>
      </c>
      <c r="N16" s="589">
        <v>98</v>
      </c>
      <c r="O16" s="589">
        <v>2</v>
      </c>
      <c r="P16" s="235">
        <f t="shared" si="4"/>
        <v>-98</v>
      </c>
      <c r="Q16" s="270">
        <f t="shared" si="5"/>
        <v>116</v>
      </c>
      <c r="R16" s="366">
        <f t="shared" si="6"/>
        <v>26</v>
      </c>
      <c r="S16" s="235">
        <f t="shared" si="7"/>
        <v>-77.599999999999994</v>
      </c>
      <c r="T16" s="710">
        <v>214</v>
      </c>
      <c r="U16" s="589">
        <v>28</v>
      </c>
      <c r="V16" s="571">
        <f t="shared" si="8"/>
        <v>-86.9</v>
      </c>
      <c r="W16" s="270">
        <f t="shared" si="9"/>
        <v>28</v>
      </c>
      <c r="X16" s="366">
        <f t="shared" si="10"/>
        <v>6</v>
      </c>
      <c r="Y16" s="235">
        <f t="shared" si="11"/>
        <v>-78.599999999999994</v>
      </c>
      <c r="Z16" s="719">
        <v>242</v>
      </c>
      <c r="AA16" s="630">
        <v>34</v>
      </c>
      <c r="AB16" s="235">
        <f t="shared" si="12"/>
        <v>-86</v>
      </c>
      <c r="AC16" s="578">
        <f t="shared" si="17"/>
        <v>24</v>
      </c>
      <c r="AD16" s="589">
        <f t="shared" si="18"/>
        <v>35</v>
      </c>
      <c r="AE16" s="571">
        <f t="shared" si="19"/>
        <v>45.8</v>
      </c>
      <c r="AF16" s="589">
        <v>266</v>
      </c>
      <c r="AG16" s="589">
        <v>69</v>
      </c>
      <c r="AH16" s="572">
        <f t="shared" si="16"/>
        <v>-74.099999999999994</v>
      </c>
    </row>
    <row r="17" spans="1:34">
      <c r="A17" s="3"/>
      <c r="B17" s="39" t="s">
        <v>52</v>
      </c>
      <c r="C17" s="40">
        <v>422</v>
      </c>
      <c r="D17" s="40">
        <v>524</v>
      </c>
      <c r="E17" s="40">
        <v>413</v>
      </c>
      <c r="F17" s="40">
        <v>489</v>
      </c>
      <c r="G17" s="608">
        <v>369</v>
      </c>
      <c r="H17" s="630">
        <v>26</v>
      </c>
      <c r="I17" s="589">
        <v>27</v>
      </c>
      <c r="J17" s="571">
        <f t="shared" si="0"/>
        <v>3.8</v>
      </c>
      <c r="K17" s="270">
        <f t="shared" si="1"/>
        <v>14</v>
      </c>
      <c r="L17" s="366">
        <f t="shared" si="2"/>
        <v>44</v>
      </c>
      <c r="M17" s="235">
        <f t="shared" si="3"/>
        <v>214.3</v>
      </c>
      <c r="N17" s="589">
        <v>40</v>
      </c>
      <c r="O17" s="589">
        <v>71</v>
      </c>
      <c r="P17" s="235">
        <f t="shared" si="4"/>
        <v>77.5</v>
      </c>
      <c r="Q17" s="270">
        <f t="shared" si="5"/>
        <v>38</v>
      </c>
      <c r="R17" s="366">
        <f t="shared" si="6"/>
        <v>39</v>
      </c>
      <c r="S17" s="571">
        <f t="shared" si="7"/>
        <v>2.6</v>
      </c>
      <c r="T17" s="710">
        <v>78</v>
      </c>
      <c r="U17" s="589">
        <v>110</v>
      </c>
      <c r="V17" s="571">
        <f t="shared" si="8"/>
        <v>41</v>
      </c>
      <c r="W17" s="270">
        <f t="shared" si="9"/>
        <v>29</v>
      </c>
      <c r="X17" s="366">
        <f t="shared" si="10"/>
        <v>32</v>
      </c>
      <c r="Y17" s="235">
        <f t="shared" si="11"/>
        <v>10.3</v>
      </c>
      <c r="Z17" s="719">
        <v>107</v>
      </c>
      <c r="AA17" s="630">
        <v>142</v>
      </c>
      <c r="AB17" s="235">
        <f t="shared" si="12"/>
        <v>32.700000000000003</v>
      </c>
      <c r="AC17" s="578">
        <f t="shared" si="17"/>
        <v>10</v>
      </c>
      <c r="AD17" s="589">
        <f t="shared" si="18"/>
        <v>54</v>
      </c>
      <c r="AE17" s="571">
        <f t="shared" si="19"/>
        <v>440</v>
      </c>
      <c r="AF17" s="589">
        <v>117</v>
      </c>
      <c r="AG17" s="589">
        <v>196</v>
      </c>
      <c r="AH17" s="572">
        <f t="shared" si="16"/>
        <v>67.5</v>
      </c>
    </row>
    <row r="18" spans="1:34" s="167" customFormat="1">
      <c r="A18" s="309"/>
      <c r="B18" s="611" t="s">
        <v>54</v>
      </c>
      <c r="C18" s="608">
        <v>220</v>
      </c>
      <c r="D18" s="608">
        <v>181</v>
      </c>
      <c r="E18" s="608">
        <v>219</v>
      </c>
      <c r="F18" s="608">
        <v>205</v>
      </c>
      <c r="G18" s="608">
        <v>328</v>
      </c>
      <c r="H18" s="630">
        <v>9</v>
      </c>
      <c r="I18" s="589">
        <v>6</v>
      </c>
      <c r="J18" s="571">
        <f t="shared" si="0"/>
        <v>-33.299999999999997</v>
      </c>
      <c r="K18" s="578">
        <f t="shared" si="1"/>
        <v>25</v>
      </c>
      <c r="L18" s="589">
        <f t="shared" si="2"/>
        <v>15</v>
      </c>
      <c r="M18" s="571">
        <f t="shared" si="3"/>
        <v>-40</v>
      </c>
      <c r="N18" s="589">
        <v>34</v>
      </c>
      <c r="O18" s="589">
        <v>21</v>
      </c>
      <c r="P18" s="571">
        <f t="shared" si="4"/>
        <v>-38.200000000000003</v>
      </c>
      <c r="Q18" s="578">
        <f t="shared" si="5"/>
        <v>39</v>
      </c>
      <c r="R18" s="589">
        <f t="shared" si="6"/>
        <v>60</v>
      </c>
      <c r="S18" s="571">
        <f t="shared" si="7"/>
        <v>53.8</v>
      </c>
      <c r="T18" s="710">
        <v>73</v>
      </c>
      <c r="U18" s="589">
        <v>81</v>
      </c>
      <c r="V18" s="571">
        <f t="shared" si="8"/>
        <v>11</v>
      </c>
      <c r="W18" s="578">
        <f t="shared" si="9"/>
        <v>32</v>
      </c>
      <c r="X18" s="589">
        <f t="shared" si="10"/>
        <v>16</v>
      </c>
      <c r="Y18" s="571">
        <f t="shared" si="11"/>
        <v>-50</v>
      </c>
      <c r="Z18" s="719">
        <v>105</v>
      </c>
      <c r="AA18" s="630">
        <v>97</v>
      </c>
      <c r="AB18" s="571">
        <f t="shared" si="12"/>
        <v>-7.6</v>
      </c>
      <c r="AC18" s="578">
        <f t="shared" si="17"/>
        <v>40</v>
      </c>
      <c r="AD18" s="589">
        <f t="shared" si="18"/>
        <v>22</v>
      </c>
      <c r="AE18" s="571">
        <f t="shared" si="19"/>
        <v>-45</v>
      </c>
      <c r="AF18" s="589">
        <v>145</v>
      </c>
      <c r="AG18" s="589">
        <v>119</v>
      </c>
      <c r="AH18" s="572">
        <f t="shared" si="16"/>
        <v>-17.899999999999999</v>
      </c>
    </row>
    <row r="19" spans="1:34" s="167" customFormat="1">
      <c r="A19" s="309"/>
      <c r="B19" s="611" t="s">
        <v>136</v>
      </c>
      <c r="C19" s="608">
        <v>132</v>
      </c>
      <c r="D19" s="608">
        <v>3</v>
      </c>
      <c r="E19" s="608">
        <v>25</v>
      </c>
      <c r="F19" s="608">
        <v>232</v>
      </c>
      <c r="G19" s="608">
        <v>168</v>
      </c>
      <c r="H19" s="635">
        <v>0</v>
      </c>
      <c r="I19" s="573">
        <v>0</v>
      </c>
      <c r="J19" s="579">
        <v>0</v>
      </c>
      <c r="K19" s="395">
        <f t="shared" si="1"/>
        <v>168</v>
      </c>
      <c r="L19" s="364">
        <f t="shared" si="2"/>
        <v>0</v>
      </c>
      <c r="M19" s="571">
        <f t="shared" si="3"/>
        <v>-100</v>
      </c>
      <c r="N19" s="573">
        <v>168</v>
      </c>
      <c r="O19" s="573">
        <v>0</v>
      </c>
      <c r="P19" s="571">
        <f t="shared" si="4"/>
        <v>-100</v>
      </c>
      <c r="Q19" s="578">
        <f t="shared" ref="Q19:Q24" si="20">T19-N19</f>
        <v>0</v>
      </c>
      <c r="R19" s="589">
        <f t="shared" ref="R19:R24" si="21">U19-O19</f>
        <v>0</v>
      </c>
      <c r="S19" s="579">
        <v>0</v>
      </c>
      <c r="T19" s="710">
        <v>168</v>
      </c>
      <c r="U19" s="589">
        <v>0</v>
      </c>
      <c r="V19" s="571">
        <f t="shared" si="8"/>
        <v>-100</v>
      </c>
      <c r="W19" s="395">
        <f t="shared" si="9"/>
        <v>0</v>
      </c>
      <c r="X19" s="364">
        <f t="shared" si="10"/>
        <v>0</v>
      </c>
      <c r="Y19" s="579">
        <v>0</v>
      </c>
      <c r="Z19" s="719">
        <v>168</v>
      </c>
      <c r="AA19" s="630">
        <v>0</v>
      </c>
      <c r="AB19" s="571">
        <f t="shared" si="12"/>
        <v>-100</v>
      </c>
      <c r="AC19" s="578">
        <f t="shared" si="17"/>
        <v>0</v>
      </c>
      <c r="AD19" s="589">
        <f t="shared" si="18"/>
        <v>0</v>
      </c>
      <c r="AE19" s="579">
        <v>0</v>
      </c>
      <c r="AF19" s="589">
        <v>168</v>
      </c>
      <c r="AG19" s="589">
        <v>0</v>
      </c>
      <c r="AH19" s="572">
        <f t="shared" si="16"/>
        <v>-100</v>
      </c>
    </row>
    <row r="20" spans="1:34">
      <c r="A20" s="3"/>
      <c r="B20" s="39" t="s">
        <v>99</v>
      </c>
      <c r="C20" s="40">
        <v>79</v>
      </c>
      <c r="D20" s="40">
        <v>196</v>
      </c>
      <c r="E20" s="40">
        <v>162</v>
      </c>
      <c r="F20" s="40">
        <v>219</v>
      </c>
      <c r="G20" s="608">
        <v>140</v>
      </c>
      <c r="H20" s="630">
        <v>1</v>
      </c>
      <c r="I20" s="589">
        <v>2</v>
      </c>
      <c r="J20" s="571">
        <f t="shared" si="0"/>
        <v>100</v>
      </c>
      <c r="K20" s="578">
        <f t="shared" si="1"/>
        <v>19</v>
      </c>
      <c r="L20" s="589">
        <f t="shared" si="2"/>
        <v>0</v>
      </c>
      <c r="M20" s="571">
        <f>ROUND(((L20/K20-1)*100), 1)</f>
        <v>-100</v>
      </c>
      <c r="N20" s="589">
        <v>20</v>
      </c>
      <c r="O20" s="589">
        <v>2</v>
      </c>
      <c r="P20" s="571">
        <f>ROUND(((O20/N20-1)*100), 1)</f>
        <v>-90</v>
      </c>
      <c r="Q20" s="578">
        <f t="shared" si="20"/>
        <v>7</v>
      </c>
      <c r="R20" s="589">
        <f t="shared" si="21"/>
        <v>0</v>
      </c>
      <c r="S20" s="571">
        <f t="shared" si="7"/>
        <v>-100</v>
      </c>
      <c r="T20" s="710">
        <v>27</v>
      </c>
      <c r="U20" s="589">
        <v>2</v>
      </c>
      <c r="V20" s="571">
        <f t="shared" si="8"/>
        <v>-92.6</v>
      </c>
      <c r="W20" s="578">
        <f t="shared" si="9"/>
        <v>27</v>
      </c>
      <c r="X20" s="589">
        <f t="shared" si="10"/>
        <v>1</v>
      </c>
      <c r="Y20" s="571">
        <f>ROUND(((X20/W20-1)*100), 1)</f>
        <v>-96.3</v>
      </c>
      <c r="Z20" s="719">
        <v>54</v>
      </c>
      <c r="AA20" s="630">
        <v>3</v>
      </c>
      <c r="AB20" s="571">
        <f t="shared" si="12"/>
        <v>-94.4</v>
      </c>
      <c r="AC20" s="578">
        <f t="shared" si="17"/>
        <v>2</v>
      </c>
      <c r="AD20" s="589">
        <f t="shared" si="18"/>
        <v>19</v>
      </c>
      <c r="AE20" s="571">
        <f t="shared" si="19"/>
        <v>850</v>
      </c>
      <c r="AF20" s="589">
        <v>56</v>
      </c>
      <c r="AG20" s="589">
        <v>22</v>
      </c>
      <c r="AH20" s="572">
        <f t="shared" si="16"/>
        <v>-60.7</v>
      </c>
    </row>
    <row r="21" spans="1:34">
      <c r="A21" s="3"/>
      <c r="B21" s="610" t="s">
        <v>206</v>
      </c>
      <c r="C21" s="324">
        <v>222</v>
      </c>
      <c r="D21" s="324">
        <v>231</v>
      </c>
      <c r="E21" s="324">
        <v>135</v>
      </c>
      <c r="F21" s="324">
        <v>155</v>
      </c>
      <c r="G21" s="608">
        <v>117</v>
      </c>
      <c r="H21" s="635">
        <v>0</v>
      </c>
      <c r="I21" s="573">
        <v>0</v>
      </c>
      <c r="J21" s="579">
        <v>0</v>
      </c>
      <c r="K21" s="577">
        <f t="shared" si="1"/>
        <v>10</v>
      </c>
      <c r="L21" s="573">
        <f t="shared" si="2"/>
        <v>0</v>
      </c>
      <c r="M21" s="571">
        <f t="shared" si="3"/>
        <v>-100</v>
      </c>
      <c r="N21" s="573">
        <v>10</v>
      </c>
      <c r="O21" s="573">
        <v>0</v>
      </c>
      <c r="P21" s="572">
        <f>ROUND(((O21/N21-1)*100), 1)</f>
        <v>-100</v>
      </c>
      <c r="Q21" s="578">
        <f t="shared" si="20"/>
        <v>13</v>
      </c>
      <c r="R21" s="589">
        <f t="shared" si="21"/>
        <v>48</v>
      </c>
      <c r="S21" s="571">
        <f t="shared" si="7"/>
        <v>269.2</v>
      </c>
      <c r="T21" s="710">
        <v>23</v>
      </c>
      <c r="U21" s="589">
        <v>48</v>
      </c>
      <c r="V21" s="571">
        <f t="shared" si="8"/>
        <v>108.7</v>
      </c>
      <c r="W21" s="577">
        <f t="shared" si="9"/>
        <v>3</v>
      </c>
      <c r="X21" s="573">
        <f t="shared" si="10"/>
        <v>23</v>
      </c>
      <c r="Y21" s="571">
        <f>ROUND(((X21/W21-1)*100), 1)</f>
        <v>666.7</v>
      </c>
      <c r="Z21" s="719">
        <v>26</v>
      </c>
      <c r="AA21" s="630">
        <v>71</v>
      </c>
      <c r="AB21" s="571">
        <f t="shared" si="12"/>
        <v>173.1</v>
      </c>
      <c r="AC21" s="578">
        <f t="shared" si="17"/>
        <v>23</v>
      </c>
      <c r="AD21" s="589">
        <f t="shared" si="18"/>
        <v>17</v>
      </c>
      <c r="AE21" s="571">
        <f t="shared" si="19"/>
        <v>-26.1</v>
      </c>
      <c r="AF21" s="589">
        <v>49</v>
      </c>
      <c r="AG21" s="589">
        <v>88</v>
      </c>
      <c r="AH21" s="572">
        <f t="shared" si="16"/>
        <v>79.599999999999994</v>
      </c>
    </row>
    <row r="22" spans="1:34">
      <c r="A22" s="3"/>
      <c r="B22" s="39" t="s">
        <v>122</v>
      </c>
      <c r="C22" s="40">
        <v>138</v>
      </c>
      <c r="D22" s="40">
        <v>98</v>
      </c>
      <c r="E22" s="40">
        <v>219</v>
      </c>
      <c r="F22" s="40">
        <v>330</v>
      </c>
      <c r="G22" s="608">
        <v>103</v>
      </c>
      <c r="H22" s="630">
        <v>4</v>
      </c>
      <c r="I22" s="589">
        <v>12</v>
      </c>
      <c r="J22" s="571">
        <f t="shared" si="0"/>
        <v>200</v>
      </c>
      <c r="K22" s="270">
        <f t="shared" si="1"/>
        <v>35</v>
      </c>
      <c r="L22" s="366">
        <f t="shared" si="2"/>
        <v>7</v>
      </c>
      <c r="M22" s="235">
        <f>ROUND(((L22/K22-1)*100), 1)</f>
        <v>-80</v>
      </c>
      <c r="N22" s="589">
        <v>39</v>
      </c>
      <c r="O22" s="589">
        <v>19</v>
      </c>
      <c r="P22" s="235">
        <f>ROUND(((O22/N22-1)*100), 1)</f>
        <v>-51.3</v>
      </c>
      <c r="Q22" s="578">
        <f t="shared" si="20"/>
        <v>9</v>
      </c>
      <c r="R22" s="589">
        <f t="shared" si="21"/>
        <v>49</v>
      </c>
      <c r="S22" s="571">
        <f t="shared" si="7"/>
        <v>444.4</v>
      </c>
      <c r="T22" s="710">
        <v>48</v>
      </c>
      <c r="U22" s="589">
        <v>68</v>
      </c>
      <c r="V22" s="571">
        <f t="shared" si="8"/>
        <v>41.7</v>
      </c>
      <c r="W22" s="270">
        <f t="shared" si="9"/>
        <v>12</v>
      </c>
      <c r="X22" s="366">
        <f t="shared" si="10"/>
        <v>26</v>
      </c>
      <c r="Y22" s="235">
        <f>ROUND(((X22/W22-1)*100), 1)</f>
        <v>116.7</v>
      </c>
      <c r="Z22" s="719">
        <v>60</v>
      </c>
      <c r="AA22" s="630">
        <v>94</v>
      </c>
      <c r="AB22" s="571">
        <f t="shared" si="12"/>
        <v>56.7</v>
      </c>
      <c r="AC22" s="578">
        <f t="shared" si="17"/>
        <v>8</v>
      </c>
      <c r="AD22" s="589">
        <f t="shared" si="18"/>
        <v>14</v>
      </c>
      <c r="AE22" s="571">
        <f t="shared" si="19"/>
        <v>75</v>
      </c>
      <c r="AF22" s="589">
        <v>68</v>
      </c>
      <c r="AG22" s="589">
        <v>108</v>
      </c>
      <c r="AH22" s="572">
        <f t="shared" si="16"/>
        <v>58.8</v>
      </c>
    </row>
    <row r="23" spans="1:34" s="605" customFormat="1">
      <c r="A23" s="675"/>
      <c r="B23" s="611" t="s">
        <v>533</v>
      </c>
      <c r="C23" s="608">
        <v>46</v>
      </c>
      <c r="D23" s="608">
        <v>79</v>
      </c>
      <c r="E23" s="608">
        <v>78</v>
      </c>
      <c r="F23" s="608">
        <v>89</v>
      </c>
      <c r="G23" s="608">
        <v>89</v>
      </c>
      <c r="H23" s="630">
        <v>6</v>
      </c>
      <c r="I23" s="589">
        <v>7</v>
      </c>
      <c r="J23" s="571">
        <f t="shared" si="0"/>
        <v>16.7</v>
      </c>
      <c r="K23" s="578">
        <f t="shared" ref="K23" si="22">N23-H23</f>
        <v>12</v>
      </c>
      <c r="L23" s="589">
        <f t="shared" ref="L23" si="23">O23-I23</f>
        <v>6</v>
      </c>
      <c r="M23" s="571">
        <f>ROUND(((L23/K23-1)*100), 1)</f>
        <v>-50</v>
      </c>
      <c r="N23" s="589">
        <v>18</v>
      </c>
      <c r="O23" s="589">
        <v>13</v>
      </c>
      <c r="P23" s="571">
        <f t="shared" ref="P23" si="24">ROUND(((O23/N23-1)*100), 1)</f>
        <v>-27.8</v>
      </c>
      <c r="Q23" s="578">
        <f t="shared" si="20"/>
        <v>10</v>
      </c>
      <c r="R23" s="589">
        <f t="shared" si="21"/>
        <v>9</v>
      </c>
      <c r="S23" s="571">
        <f t="shared" si="7"/>
        <v>-10</v>
      </c>
      <c r="T23" s="710">
        <v>28</v>
      </c>
      <c r="U23" s="589">
        <v>22</v>
      </c>
      <c r="V23" s="571">
        <f t="shared" si="8"/>
        <v>-21.4</v>
      </c>
      <c r="W23" s="578">
        <f t="shared" ref="W23" si="25">Z23-T23</f>
        <v>0</v>
      </c>
      <c r="X23" s="589">
        <f t="shared" ref="X23" si="26">AA23-U23</f>
        <v>11</v>
      </c>
      <c r="Y23" s="579">
        <v>0</v>
      </c>
      <c r="Z23" s="719">
        <v>28</v>
      </c>
      <c r="AA23" s="630">
        <v>33</v>
      </c>
      <c r="AB23" s="571">
        <f t="shared" si="12"/>
        <v>17.899999999999999</v>
      </c>
      <c r="AC23" s="578">
        <f t="shared" si="17"/>
        <v>2</v>
      </c>
      <c r="AD23" s="589">
        <f t="shared" si="18"/>
        <v>45</v>
      </c>
      <c r="AE23" s="571">
        <f t="shared" si="19"/>
        <v>2150</v>
      </c>
      <c r="AF23" s="589">
        <v>30</v>
      </c>
      <c r="AG23" s="589">
        <v>78</v>
      </c>
      <c r="AH23" s="572">
        <f t="shared" si="16"/>
        <v>160</v>
      </c>
    </row>
    <row r="24" spans="1:34" s="167" customFormat="1">
      <c r="A24" s="309"/>
      <c r="B24" s="611" t="s">
        <v>98</v>
      </c>
      <c r="C24" s="608">
        <v>748</v>
      </c>
      <c r="D24" s="608">
        <v>360</v>
      </c>
      <c r="E24" s="608">
        <v>180</v>
      </c>
      <c r="F24" s="608">
        <v>84</v>
      </c>
      <c r="G24" s="608">
        <v>64</v>
      </c>
      <c r="H24" s="630">
        <v>1</v>
      </c>
      <c r="I24" s="589">
        <v>4</v>
      </c>
      <c r="J24" s="571">
        <f t="shared" si="0"/>
        <v>300</v>
      </c>
      <c r="K24" s="578">
        <f>N24-H24</f>
        <v>5</v>
      </c>
      <c r="L24" s="589">
        <f>O24-I24</f>
        <v>1</v>
      </c>
      <c r="M24" s="571">
        <f>ROUND(((L24/K24-1)*100), 1)</f>
        <v>-80</v>
      </c>
      <c r="N24" s="589">
        <v>6</v>
      </c>
      <c r="O24" s="589">
        <v>5</v>
      </c>
      <c r="P24" s="571">
        <f>ROUND(((O24/N24-1)*100), 1)</f>
        <v>-16.7</v>
      </c>
      <c r="Q24" s="578">
        <f t="shared" si="20"/>
        <v>5</v>
      </c>
      <c r="R24" s="589">
        <f t="shared" si="21"/>
        <v>5</v>
      </c>
      <c r="S24" s="571">
        <f t="shared" si="7"/>
        <v>0</v>
      </c>
      <c r="T24" s="710">
        <v>11</v>
      </c>
      <c r="U24" s="589">
        <v>10</v>
      </c>
      <c r="V24" s="571">
        <f t="shared" si="8"/>
        <v>-9.1</v>
      </c>
      <c r="W24" s="578">
        <f>Z24-T24</f>
        <v>3</v>
      </c>
      <c r="X24" s="589">
        <f>AA24-U24</f>
        <v>14</v>
      </c>
      <c r="Y24" s="571">
        <f>ROUND(((X24/W24-1)*100), 1)</f>
        <v>366.7</v>
      </c>
      <c r="Z24" s="719">
        <v>14</v>
      </c>
      <c r="AA24" s="630">
        <v>24</v>
      </c>
      <c r="AB24" s="571">
        <f t="shared" si="12"/>
        <v>71.400000000000006</v>
      </c>
      <c r="AC24" s="578">
        <f t="shared" si="17"/>
        <v>6</v>
      </c>
      <c r="AD24" s="589">
        <f t="shared" si="18"/>
        <v>15</v>
      </c>
      <c r="AE24" s="571">
        <f t="shared" si="19"/>
        <v>150</v>
      </c>
      <c r="AF24" s="589">
        <v>20</v>
      </c>
      <c r="AG24" s="589">
        <v>39</v>
      </c>
      <c r="AH24" s="571">
        <f>ROUND(((AG24/AF24-1)*100), 1)</f>
        <v>95</v>
      </c>
    </row>
    <row r="25" spans="1:34">
      <c r="A25" s="3"/>
      <c r="B25" s="39" t="s">
        <v>224</v>
      </c>
      <c r="C25" s="40">
        <v>399</v>
      </c>
      <c r="D25" s="40">
        <v>629</v>
      </c>
      <c r="E25" s="40">
        <v>42</v>
      </c>
      <c r="F25" s="40">
        <v>308</v>
      </c>
      <c r="G25" s="608">
        <v>12</v>
      </c>
      <c r="H25" s="630">
        <v>0</v>
      </c>
      <c r="I25" s="589">
        <v>3</v>
      </c>
      <c r="J25" s="579">
        <v>0</v>
      </c>
      <c r="K25" s="270">
        <f>N25-H25</f>
        <v>0</v>
      </c>
      <c r="L25" s="366">
        <f>O25-I25</f>
        <v>2</v>
      </c>
      <c r="M25" s="579">
        <v>0</v>
      </c>
      <c r="N25" s="589">
        <v>0</v>
      </c>
      <c r="O25" s="589">
        <v>5</v>
      </c>
      <c r="P25" s="579">
        <v>0</v>
      </c>
      <c r="Q25" s="270">
        <f>T25-N25</f>
        <v>1</v>
      </c>
      <c r="R25" s="366">
        <f>U25-O25</f>
        <v>1</v>
      </c>
      <c r="S25" s="235">
        <f>ROUND(((R25/Q25-1)*100), 1)</f>
        <v>0</v>
      </c>
      <c r="T25" s="710">
        <v>1</v>
      </c>
      <c r="U25" s="589">
        <v>6</v>
      </c>
      <c r="V25" s="235">
        <f>ROUND(((U25/T25-1)*100), 1)</f>
        <v>500</v>
      </c>
      <c r="W25" s="270">
        <f>Z25-T25</f>
        <v>1</v>
      </c>
      <c r="X25" s="366">
        <f>AA25-U25</f>
        <v>1</v>
      </c>
      <c r="Y25" s="235">
        <f>ROUND(((X25/W25-1)*100), 1)</f>
        <v>0</v>
      </c>
      <c r="Z25" s="719">
        <v>2</v>
      </c>
      <c r="AA25" s="630">
        <v>7</v>
      </c>
      <c r="AB25" s="235">
        <f>ROUND(((AA25/Z25-1)*100), 1)</f>
        <v>250</v>
      </c>
      <c r="AC25" s="270">
        <f>AF25-Z25</f>
        <v>2</v>
      </c>
      <c r="AD25" s="366">
        <f>AG25-AA25</f>
        <v>3</v>
      </c>
      <c r="AE25" s="235">
        <f>ROUND(((AD25/AC25-1)*100), 1)</f>
        <v>50</v>
      </c>
      <c r="AF25" s="589">
        <v>4</v>
      </c>
      <c r="AG25" s="589">
        <v>10</v>
      </c>
      <c r="AH25" s="235">
        <f>ROUND(((AG25/AF25-1)*100), 1)</f>
        <v>150</v>
      </c>
    </row>
    <row r="26" spans="1:34">
      <c r="A26" s="3"/>
      <c r="B26" s="39" t="s">
        <v>18</v>
      </c>
      <c r="C26" s="40">
        <f t="shared" ref="C26:I26" si="27">C27-SUM(C5:C25)</f>
        <v>918</v>
      </c>
      <c r="D26" s="40">
        <f t="shared" si="27"/>
        <v>820</v>
      </c>
      <c r="E26" s="40">
        <f t="shared" si="27"/>
        <v>789</v>
      </c>
      <c r="F26" s="40">
        <f t="shared" si="27"/>
        <v>668</v>
      </c>
      <c r="G26" s="608">
        <f t="shared" si="27"/>
        <v>451</v>
      </c>
      <c r="H26" s="629">
        <f t="shared" si="27"/>
        <v>34</v>
      </c>
      <c r="I26" s="587">
        <f t="shared" si="27"/>
        <v>41</v>
      </c>
      <c r="J26" s="235">
        <f t="shared" ref="J26:J27" si="28">ROUND(((I26/H26-1)*100), 1)</f>
        <v>20.6</v>
      </c>
      <c r="K26" s="359">
        <f>K27-SUM(K5:K25)</f>
        <v>53</v>
      </c>
      <c r="L26" s="359">
        <f>L27-SUM(L5:L25)</f>
        <v>27</v>
      </c>
      <c r="M26" s="235">
        <f t="shared" ref="M26:M27" si="29">ROUND(((L26/K26-1)*100), 1)</f>
        <v>-49.1</v>
      </c>
      <c r="N26" s="587">
        <f>N27-SUM(N5:N25)</f>
        <v>87</v>
      </c>
      <c r="O26" s="587">
        <f>O27-SUM(O5:O25)</f>
        <v>68</v>
      </c>
      <c r="P26" s="235">
        <f t="shared" ref="P26:P27" si="30">ROUND(((O26/N26-1)*100), 1)</f>
        <v>-21.8</v>
      </c>
      <c r="Q26" s="359">
        <f>Q27-SUM(Q5:Q25)</f>
        <v>39</v>
      </c>
      <c r="R26" s="359">
        <f>R27-SUM(R5:R25)</f>
        <v>76</v>
      </c>
      <c r="S26" s="235">
        <f t="shared" ref="S26:S27" si="31">ROUND(((R26/Q26-1)*100), 1)</f>
        <v>94.9</v>
      </c>
      <c r="T26" s="587">
        <f>T27-SUM(T5:T25)</f>
        <v>126</v>
      </c>
      <c r="U26" s="587">
        <f>U27-SUM(U5:U25)</f>
        <v>144</v>
      </c>
      <c r="V26" s="235">
        <f t="shared" ref="V26:V27" si="32">ROUND(((U26/T26-1)*100), 1)</f>
        <v>14.3</v>
      </c>
      <c r="W26" s="468">
        <f>W27-SUM(W5:W25)</f>
        <v>44</v>
      </c>
      <c r="X26" s="468">
        <f>X27-SUM(X5:X25)</f>
        <v>79</v>
      </c>
      <c r="Y26" s="235">
        <f t="shared" ref="Y26:Y27" si="33">ROUND(((X26/W26-1)*100), 1)</f>
        <v>79.5</v>
      </c>
      <c r="Z26" s="629">
        <f>Z27-SUM(Z5:Z25)</f>
        <v>170</v>
      </c>
      <c r="AA26" s="629">
        <f>AA27-SUM(AA5:AA25)</f>
        <v>223</v>
      </c>
      <c r="AB26" s="235">
        <f t="shared" ref="AB26:AB27" si="34">ROUND(((AA26/Z26-1)*100), 1)</f>
        <v>31.2</v>
      </c>
      <c r="AC26" s="468">
        <f>AC27-SUM(AC5:AC25)</f>
        <v>31</v>
      </c>
      <c r="AD26" s="468">
        <f>AD27-SUM(AD5:AD25)</f>
        <v>76</v>
      </c>
      <c r="AE26" s="235">
        <f t="shared" ref="AE26:AE27" si="35">ROUND(((AD26/AC26-1)*100), 1)</f>
        <v>145.19999999999999</v>
      </c>
      <c r="AF26" s="587">
        <f>AF27-SUM(AF5:AF25)</f>
        <v>201</v>
      </c>
      <c r="AG26" s="587">
        <f>AG27-SUM(AG5:AG25)</f>
        <v>299</v>
      </c>
      <c r="AH26" s="235">
        <f t="shared" ref="AH26:AH27" si="36">ROUND(((AG26/AF26-1)*100), 1)</f>
        <v>48.8</v>
      </c>
    </row>
    <row r="27" spans="1:34">
      <c r="A27" s="8"/>
      <c r="B27" s="63" t="s">
        <v>101</v>
      </c>
      <c r="C27" s="42">
        <v>32358</v>
      </c>
      <c r="D27" s="42">
        <v>33210</v>
      </c>
      <c r="E27" s="42">
        <v>32085</v>
      </c>
      <c r="F27" s="42">
        <v>39272</v>
      </c>
      <c r="G27" s="609">
        <v>41649</v>
      </c>
      <c r="H27" s="632">
        <v>3090</v>
      </c>
      <c r="I27" s="582">
        <v>3500</v>
      </c>
      <c r="J27" s="236">
        <f t="shared" si="28"/>
        <v>13.3</v>
      </c>
      <c r="K27" s="268">
        <f t="shared" ref="K27:L27" si="37">N27-H27</f>
        <v>3960</v>
      </c>
      <c r="L27" s="280">
        <f t="shared" si="37"/>
        <v>3586</v>
      </c>
      <c r="M27" s="236">
        <f t="shared" si="29"/>
        <v>-9.4</v>
      </c>
      <c r="N27" s="582">
        <v>7050</v>
      </c>
      <c r="O27" s="582">
        <v>7086</v>
      </c>
      <c r="P27" s="236">
        <f t="shared" si="30"/>
        <v>0.5</v>
      </c>
      <c r="Q27" s="268">
        <f t="shared" ref="Q27" si="38">T27-N27</f>
        <v>4773</v>
      </c>
      <c r="R27" s="280">
        <f t="shared" ref="R27" si="39">U27-O27</f>
        <v>4240</v>
      </c>
      <c r="S27" s="236">
        <f t="shared" si="31"/>
        <v>-11.2</v>
      </c>
      <c r="T27" s="582">
        <v>11823</v>
      </c>
      <c r="U27" s="582">
        <v>11326</v>
      </c>
      <c r="V27" s="236">
        <f t="shared" si="32"/>
        <v>-4.2</v>
      </c>
      <c r="W27" s="268">
        <f t="shared" ref="W27" si="40">Z27-T27</f>
        <v>3148</v>
      </c>
      <c r="X27" s="280">
        <f t="shared" ref="X27" si="41">AA27-U27</f>
        <v>3908</v>
      </c>
      <c r="Y27" s="236">
        <f t="shared" si="33"/>
        <v>24.1</v>
      </c>
      <c r="Z27" s="632">
        <v>14971</v>
      </c>
      <c r="AA27" s="632">
        <v>15234</v>
      </c>
      <c r="AB27" s="236">
        <f t="shared" si="34"/>
        <v>1.8</v>
      </c>
      <c r="AC27" s="268">
        <f t="shared" ref="AC27:AD27" si="42">AF27-Z27</f>
        <v>2157</v>
      </c>
      <c r="AD27" s="280">
        <f t="shared" si="42"/>
        <v>3486</v>
      </c>
      <c r="AE27" s="236">
        <f t="shared" si="35"/>
        <v>61.6</v>
      </c>
      <c r="AF27" s="582">
        <v>17128</v>
      </c>
      <c r="AG27" s="582">
        <v>18720</v>
      </c>
      <c r="AH27" s="236">
        <f t="shared" si="36"/>
        <v>9.3000000000000007</v>
      </c>
    </row>
    <row r="28" spans="1:34">
      <c r="A28" s="3"/>
      <c r="B28" s="39" t="s">
        <v>91</v>
      </c>
      <c r="C28" s="40">
        <v>142</v>
      </c>
      <c r="D28" s="40">
        <v>3946</v>
      </c>
      <c r="E28" s="40">
        <v>9147</v>
      </c>
      <c r="F28" s="40">
        <v>11844</v>
      </c>
      <c r="G28" s="608">
        <v>8792</v>
      </c>
      <c r="H28" s="630">
        <v>722</v>
      </c>
      <c r="I28" s="589">
        <v>433</v>
      </c>
      <c r="J28" s="235">
        <f t="shared" ref="J28:J45" si="43">ROUND(((I28/H28-1)*100), 1)</f>
        <v>-40</v>
      </c>
      <c r="K28" s="270">
        <f t="shared" ref="K28:L35" si="44">N28-H28</f>
        <v>687</v>
      </c>
      <c r="L28" s="366">
        <f t="shared" si="44"/>
        <v>381</v>
      </c>
      <c r="M28" s="235">
        <f t="shared" ref="M28:M33" si="45">ROUND(((L28/K28-1)*100), 1)</f>
        <v>-44.5</v>
      </c>
      <c r="N28" s="589">
        <v>1409</v>
      </c>
      <c r="O28" s="589">
        <v>814</v>
      </c>
      <c r="P28" s="235">
        <f t="shared" ref="P28:P38" si="46">ROUND(((O28/N28-1)*100), 1)</f>
        <v>-42.2</v>
      </c>
      <c r="Q28" s="270">
        <f t="shared" ref="Q28:R30" si="47">T28-N28</f>
        <v>752</v>
      </c>
      <c r="R28" s="366">
        <f t="shared" si="47"/>
        <v>463</v>
      </c>
      <c r="S28" s="235">
        <f t="shared" ref="S28:S30" si="48">ROUND(((R28/Q28-1)*100), 1)</f>
        <v>-38.4</v>
      </c>
      <c r="T28" s="589">
        <v>2161</v>
      </c>
      <c r="U28" s="589">
        <v>1277</v>
      </c>
      <c r="V28" s="235">
        <f t="shared" ref="V28:V42" si="49">ROUND(((U28/T28-1)*100), 1)</f>
        <v>-40.9</v>
      </c>
      <c r="W28" s="270">
        <f t="shared" ref="W28:X33" si="50">Z28-T28</f>
        <v>774</v>
      </c>
      <c r="X28" s="366">
        <f t="shared" si="50"/>
        <v>562</v>
      </c>
      <c r="Y28" s="235">
        <f t="shared" ref="Y28:Y34" si="51">ROUND(((X28/W28-1)*100), 1)</f>
        <v>-27.4</v>
      </c>
      <c r="Z28" s="630">
        <v>2935</v>
      </c>
      <c r="AA28" s="630">
        <v>1839</v>
      </c>
      <c r="AB28" s="235">
        <f t="shared" ref="AB28:AB39" si="52">ROUND(((AA28/Z28-1)*100), 1)</f>
        <v>-37.299999999999997</v>
      </c>
      <c r="AC28" s="270">
        <f t="shared" ref="AC28:AD30" si="53">AF28-Z28</f>
        <v>848</v>
      </c>
      <c r="AD28" s="366">
        <f t="shared" si="53"/>
        <v>492</v>
      </c>
      <c r="AE28" s="235">
        <f>ROUND(((AD28/AC28-1)*100), 1)</f>
        <v>-42</v>
      </c>
      <c r="AF28" s="589">
        <v>3783</v>
      </c>
      <c r="AG28" s="589">
        <v>2331</v>
      </c>
      <c r="AH28" s="235">
        <f t="shared" ref="AH28:AH39" si="54">ROUND(((AG28/AF28-1)*100), 1)</f>
        <v>-38.4</v>
      </c>
    </row>
    <row r="29" spans="1:34">
      <c r="A29" s="3" t="s">
        <v>103</v>
      </c>
      <c r="B29" s="39" t="s">
        <v>89</v>
      </c>
      <c r="C29" s="40">
        <v>3419</v>
      </c>
      <c r="D29" s="40">
        <v>6312</v>
      </c>
      <c r="E29" s="40">
        <v>8341</v>
      </c>
      <c r="F29" s="40">
        <v>8462</v>
      </c>
      <c r="G29" s="608">
        <v>7426</v>
      </c>
      <c r="H29" s="630">
        <v>989</v>
      </c>
      <c r="I29" s="589">
        <v>585</v>
      </c>
      <c r="J29" s="235">
        <f t="shared" si="43"/>
        <v>-40.799999999999997</v>
      </c>
      <c r="K29" s="270">
        <f t="shared" si="44"/>
        <v>259</v>
      </c>
      <c r="L29" s="366">
        <f t="shared" si="44"/>
        <v>407</v>
      </c>
      <c r="M29" s="235">
        <f t="shared" si="45"/>
        <v>57.1</v>
      </c>
      <c r="N29" s="589">
        <v>1248</v>
      </c>
      <c r="O29" s="589">
        <v>992</v>
      </c>
      <c r="P29" s="235">
        <f t="shared" si="46"/>
        <v>-20.5</v>
      </c>
      <c r="Q29" s="270">
        <f t="shared" si="47"/>
        <v>605</v>
      </c>
      <c r="R29" s="366">
        <f t="shared" si="47"/>
        <v>488</v>
      </c>
      <c r="S29" s="235">
        <f t="shared" si="48"/>
        <v>-19.3</v>
      </c>
      <c r="T29" s="589">
        <v>1853</v>
      </c>
      <c r="U29" s="589">
        <v>1480</v>
      </c>
      <c r="V29" s="235">
        <f t="shared" si="49"/>
        <v>-20.100000000000001</v>
      </c>
      <c r="W29" s="270">
        <f t="shared" si="50"/>
        <v>1173</v>
      </c>
      <c r="X29" s="366">
        <f t="shared" si="50"/>
        <v>753</v>
      </c>
      <c r="Y29" s="235">
        <f t="shared" si="51"/>
        <v>-35.799999999999997</v>
      </c>
      <c r="Z29" s="630">
        <v>3026</v>
      </c>
      <c r="AA29" s="630">
        <v>2233</v>
      </c>
      <c r="AB29" s="235">
        <f t="shared" si="52"/>
        <v>-26.2</v>
      </c>
      <c r="AC29" s="270">
        <f t="shared" si="53"/>
        <v>474</v>
      </c>
      <c r="AD29" s="366">
        <f t="shared" si="53"/>
        <v>683</v>
      </c>
      <c r="AE29" s="235">
        <f>ROUND(((AD29/AC29-1)*100), 1)</f>
        <v>44.1</v>
      </c>
      <c r="AF29" s="589">
        <v>3500</v>
      </c>
      <c r="AG29" s="589">
        <v>2916</v>
      </c>
      <c r="AH29" s="235">
        <f t="shared" si="54"/>
        <v>-16.7</v>
      </c>
    </row>
    <row r="30" spans="1:34">
      <c r="A30" s="3"/>
      <c r="B30" s="39" t="s">
        <v>106</v>
      </c>
      <c r="C30" s="40">
        <v>3676</v>
      </c>
      <c r="D30" s="40">
        <v>4266</v>
      </c>
      <c r="E30" s="40">
        <v>4143</v>
      </c>
      <c r="F30" s="40">
        <v>4571</v>
      </c>
      <c r="G30" s="608">
        <v>3238</v>
      </c>
      <c r="H30" s="630">
        <v>261</v>
      </c>
      <c r="I30" s="589">
        <v>181</v>
      </c>
      <c r="J30" s="235">
        <f t="shared" si="43"/>
        <v>-30.7</v>
      </c>
      <c r="K30" s="270">
        <f t="shared" si="44"/>
        <v>301</v>
      </c>
      <c r="L30" s="366">
        <f t="shared" si="44"/>
        <v>197</v>
      </c>
      <c r="M30" s="235">
        <f t="shared" si="45"/>
        <v>-34.6</v>
      </c>
      <c r="N30" s="589">
        <v>562</v>
      </c>
      <c r="O30" s="589">
        <v>378</v>
      </c>
      <c r="P30" s="235">
        <f t="shared" si="46"/>
        <v>-32.700000000000003</v>
      </c>
      <c r="Q30" s="270">
        <f t="shared" si="47"/>
        <v>406</v>
      </c>
      <c r="R30" s="366">
        <f t="shared" si="47"/>
        <v>113</v>
      </c>
      <c r="S30" s="235">
        <f t="shared" si="48"/>
        <v>-72.2</v>
      </c>
      <c r="T30" s="589">
        <v>968</v>
      </c>
      <c r="U30" s="589">
        <v>491</v>
      </c>
      <c r="V30" s="235">
        <f t="shared" si="49"/>
        <v>-49.3</v>
      </c>
      <c r="W30" s="270">
        <f t="shared" si="50"/>
        <v>279</v>
      </c>
      <c r="X30" s="366">
        <f t="shared" si="50"/>
        <v>112</v>
      </c>
      <c r="Y30" s="235">
        <f t="shared" si="51"/>
        <v>-59.9</v>
      </c>
      <c r="Z30" s="630">
        <v>1247</v>
      </c>
      <c r="AA30" s="630">
        <v>603</v>
      </c>
      <c r="AB30" s="235">
        <f t="shared" si="52"/>
        <v>-51.6</v>
      </c>
      <c r="AC30" s="270">
        <f t="shared" si="53"/>
        <v>278</v>
      </c>
      <c r="AD30" s="366">
        <f t="shared" si="53"/>
        <v>79</v>
      </c>
      <c r="AE30" s="235">
        <f>ROUND(((AD30/AC30-1)*100), 1)</f>
        <v>-71.599999999999994</v>
      </c>
      <c r="AF30" s="589">
        <v>1525</v>
      </c>
      <c r="AG30" s="589">
        <v>682</v>
      </c>
      <c r="AH30" s="235">
        <f t="shared" si="54"/>
        <v>-55.3</v>
      </c>
    </row>
    <row r="31" spans="1:34">
      <c r="A31" s="3"/>
      <c r="B31" s="39" t="s">
        <v>109</v>
      </c>
      <c r="C31" s="40">
        <v>1273</v>
      </c>
      <c r="D31" s="40">
        <v>1492</v>
      </c>
      <c r="E31" s="40">
        <v>1594</v>
      </c>
      <c r="F31" s="40">
        <v>1710</v>
      </c>
      <c r="G31" s="608">
        <v>1499</v>
      </c>
      <c r="H31" s="630">
        <v>123</v>
      </c>
      <c r="I31" s="589">
        <v>43</v>
      </c>
      <c r="J31" s="235">
        <f t="shared" si="43"/>
        <v>-65</v>
      </c>
      <c r="K31" s="270">
        <f t="shared" si="44"/>
        <v>107</v>
      </c>
      <c r="L31" s="366">
        <f t="shared" si="44"/>
        <v>100</v>
      </c>
      <c r="M31" s="235">
        <f t="shared" si="45"/>
        <v>-6.5</v>
      </c>
      <c r="N31" s="589">
        <v>230</v>
      </c>
      <c r="O31" s="589">
        <v>143</v>
      </c>
      <c r="P31" s="235">
        <f t="shared" si="46"/>
        <v>-37.799999999999997</v>
      </c>
      <c r="Q31" s="578">
        <f t="shared" ref="Q31:Q45" si="55">T31-N31</f>
        <v>183</v>
      </c>
      <c r="R31" s="589">
        <f t="shared" ref="R31:R45" si="56">U31-O31</f>
        <v>46</v>
      </c>
      <c r="S31" s="571">
        <f t="shared" ref="S31:S45" si="57">ROUND(((R31/Q31-1)*100), 1)</f>
        <v>-74.900000000000006</v>
      </c>
      <c r="T31" s="589">
        <v>413</v>
      </c>
      <c r="U31" s="589">
        <v>189</v>
      </c>
      <c r="V31" s="235">
        <f t="shared" si="49"/>
        <v>-54.2</v>
      </c>
      <c r="W31" s="270">
        <f t="shared" si="50"/>
        <v>19</v>
      </c>
      <c r="X31" s="366">
        <f t="shared" si="50"/>
        <v>41</v>
      </c>
      <c r="Y31" s="235">
        <f t="shared" si="51"/>
        <v>115.8</v>
      </c>
      <c r="Z31" s="630">
        <v>432</v>
      </c>
      <c r="AA31" s="630">
        <v>230</v>
      </c>
      <c r="AB31" s="235">
        <f t="shared" si="52"/>
        <v>-46.8</v>
      </c>
      <c r="AC31" s="578">
        <f t="shared" ref="AC31:AC43" si="58">AF31-Z31</f>
        <v>255</v>
      </c>
      <c r="AD31" s="589">
        <f t="shared" ref="AD31:AD43" si="59">AG31-AA31</f>
        <v>115</v>
      </c>
      <c r="AE31" s="571">
        <f t="shared" ref="AE31:AE43" si="60">ROUND(((AD31/AC31-1)*100), 1)</f>
        <v>-54.9</v>
      </c>
      <c r="AF31" s="589">
        <v>687</v>
      </c>
      <c r="AG31" s="589">
        <v>345</v>
      </c>
      <c r="AH31" s="235">
        <f t="shared" si="54"/>
        <v>-49.8</v>
      </c>
    </row>
    <row r="32" spans="1:34">
      <c r="A32" s="3"/>
      <c r="B32" s="39" t="s">
        <v>47</v>
      </c>
      <c r="C32" s="40">
        <v>574</v>
      </c>
      <c r="D32" s="40">
        <v>517</v>
      </c>
      <c r="E32" s="40">
        <v>472</v>
      </c>
      <c r="F32" s="40">
        <v>205</v>
      </c>
      <c r="G32" s="608">
        <v>882</v>
      </c>
      <c r="H32" s="630">
        <v>39</v>
      </c>
      <c r="I32" s="589">
        <v>115</v>
      </c>
      <c r="J32" s="235">
        <f t="shared" si="43"/>
        <v>194.9</v>
      </c>
      <c r="K32" s="270">
        <f t="shared" si="44"/>
        <v>25</v>
      </c>
      <c r="L32" s="366">
        <f t="shared" si="44"/>
        <v>184</v>
      </c>
      <c r="M32" s="235">
        <f t="shared" si="45"/>
        <v>636</v>
      </c>
      <c r="N32" s="589">
        <v>64</v>
      </c>
      <c r="O32" s="589">
        <v>299</v>
      </c>
      <c r="P32" s="235">
        <f t="shared" si="46"/>
        <v>367.2</v>
      </c>
      <c r="Q32" s="578">
        <f t="shared" si="55"/>
        <v>183</v>
      </c>
      <c r="R32" s="589">
        <f t="shared" si="56"/>
        <v>104</v>
      </c>
      <c r="S32" s="571">
        <f t="shared" si="57"/>
        <v>-43.2</v>
      </c>
      <c r="T32" s="589">
        <v>247</v>
      </c>
      <c r="U32" s="589">
        <v>403</v>
      </c>
      <c r="V32" s="235">
        <f t="shared" si="49"/>
        <v>63.2</v>
      </c>
      <c r="W32" s="270">
        <f t="shared" si="50"/>
        <v>54</v>
      </c>
      <c r="X32" s="366">
        <f t="shared" si="50"/>
        <v>102</v>
      </c>
      <c r="Y32" s="235">
        <f t="shared" si="51"/>
        <v>88.9</v>
      </c>
      <c r="Z32" s="630">
        <v>301</v>
      </c>
      <c r="AA32" s="630">
        <v>505</v>
      </c>
      <c r="AB32" s="235">
        <f t="shared" si="52"/>
        <v>67.8</v>
      </c>
      <c r="AC32" s="578">
        <f t="shared" si="58"/>
        <v>25</v>
      </c>
      <c r="AD32" s="589">
        <f t="shared" si="59"/>
        <v>39</v>
      </c>
      <c r="AE32" s="571">
        <f t="shared" si="60"/>
        <v>56</v>
      </c>
      <c r="AF32" s="589">
        <v>326</v>
      </c>
      <c r="AG32" s="589">
        <v>544</v>
      </c>
      <c r="AH32" s="235">
        <f t="shared" si="54"/>
        <v>66.900000000000006</v>
      </c>
    </row>
    <row r="33" spans="1:34">
      <c r="A33" s="3"/>
      <c r="B33" s="39" t="s">
        <v>79</v>
      </c>
      <c r="C33" s="40">
        <v>405</v>
      </c>
      <c r="D33" s="40">
        <v>311</v>
      </c>
      <c r="E33" s="40">
        <v>381</v>
      </c>
      <c r="F33" s="40">
        <v>406</v>
      </c>
      <c r="G33" s="608">
        <v>447</v>
      </c>
      <c r="H33" s="630">
        <v>40</v>
      </c>
      <c r="I33" s="589">
        <v>5</v>
      </c>
      <c r="J33" s="571">
        <f t="shared" si="43"/>
        <v>-87.5</v>
      </c>
      <c r="K33" s="270">
        <f t="shared" si="44"/>
        <v>62</v>
      </c>
      <c r="L33" s="366">
        <f t="shared" si="44"/>
        <v>10</v>
      </c>
      <c r="M33" s="571">
        <f t="shared" si="45"/>
        <v>-83.9</v>
      </c>
      <c r="N33" s="589">
        <v>102</v>
      </c>
      <c r="O33" s="589">
        <v>15</v>
      </c>
      <c r="P33" s="571">
        <f t="shared" si="46"/>
        <v>-85.3</v>
      </c>
      <c r="Q33" s="578">
        <f t="shared" si="55"/>
        <v>26</v>
      </c>
      <c r="R33" s="589">
        <f t="shared" si="56"/>
        <v>25</v>
      </c>
      <c r="S33" s="571">
        <f t="shared" si="57"/>
        <v>-3.8</v>
      </c>
      <c r="T33" s="589">
        <v>128</v>
      </c>
      <c r="U33" s="589">
        <v>40</v>
      </c>
      <c r="V33" s="571">
        <f t="shared" si="49"/>
        <v>-68.8</v>
      </c>
      <c r="W33" s="270">
        <f t="shared" si="50"/>
        <v>22</v>
      </c>
      <c r="X33" s="366">
        <f t="shared" si="50"/>
        <v>35</v>
      </c>
      <c r="Y33" s="571">
        <f t="shared" si="51"/>
        <v>59.1</v>
      </c>
      <c r="Z33" s="630">
        <v>150</v>
      </c>
      <c r="AA33" s="630">
        <v>75</v>
      </c>
      <c r="AB33" s="571">
        <f t="shared" si="52"/>
        <v>-50</v>
      </c>
      <c r="AC33" s="578">
        <f t="shared" si="58"/>
        <v>15</v>
      </c>
      <c r="AD33" s="589">
        <f t="shared" si="59"/>
        <v>31</v>
      </c>
      <c r="AE33" s="571">
        <f t="shared" si="60"/>
        <v>106.7</v>
      </c>
      <c r="AF33" s="589">
        <v>165</v>
      </c>
      <c r="AG33" s="589">
        <v>106</v>
      </c>
      <c r="AH33" s="235">
        <f t="shared" si="54"/>
        <v>-35.799999999999997</v>
      </c>
    </row>
    <row r="34" spans="1:34">
      <c r="A34" s="3"/>
      <c r="B34" s="610" t="s">
        <v>448</v>
      </c>
      <c r="C34" s="324">
        <v>45</v>
      </c>
      <c r="D34" s="324">
        <v>30</v>
      </c>
      <c r="E34" s="324">
        <v>107</v>
      </c>
      <c r="F34" s="324">
        <v>147</v>
      </c>
      <c r="G34" s="608">
        <v>145</v>
      </c>
      <c r="H34" s="630">
        <v>20</v>
      </c>
      <c r="I34" s="589">
        <v>21</v>
      </c>
      <c r="J34" s="571">
        <f t="shared" si="43"/>
        <v>5</v>
      </c>
      <c r="K34" s="577">
        <f t="shared" si="44"/>
        <v>0</v>
      </c>
      <c r="L34" s="573">
        <f t="shared" si="44"/>
        <v>0</v>
      </c>
      <c r="M34" s="579">
        <v>0</v>
      </c>
      <c r="N34" s="589">
        <v>20</v>
      </c>
      <c r="O34" s="589">
        <v>21</v>
      </c>
      <c r="P34" s="235">
        <f t="shared" si="46"/>
        <v>5</v>
      </c>
      <c r="Q34" s="578">
        <f t="shared" si="55"/>
        <v>20</v>
      </c>
      <c r="R34" s="589">
        <f t="shared" si="56"/>
        <v>34</v>
      </c>
      <c r="S34" s="571">
        <f t="shared" si="57"/>
        <v>70</v>
      </c>
      <c r="T34" s="589">
        <v>40</v>
      </c>
      <c r="U34" s="589">
        <v>55</v>
      </c>
      <c r="V34" s="571">
        <f t="shared" si="49"/>
        <v>37.5</v>
      </c>
      <c r="W34" s="578">
        <f t="shared" ref="W34:W44" si="61">Z34-T34</f>
        <v>2</v>
      </c>
      <c r="X34" s="589">
        <f t="shared" ref="X34:X44" si="62">AA34-U34</f>
        <v>31</v>
      </c>
      <c r="Y34" s="571">
        <f t="shared" si="51"/>
        <v>1450</v>
      </c>
      <c r="Z34" s="630">
        <v>42</v>
      </c>
      <c r="AA34" s="630">
        <v>86</v>
      </c>
      <c r="AB34" s="235">
        <f t="shared" si="52"/>
        <v>104.8</v>
      </c>
      <c r="AC34" s="578">
        <f t="shared" si="58"/>
        <v>0</v>
      </c>
      <c r="AD34" s="589">
        <f t="shared" si="59"/>
        <v>0</v>
      </c>
      <c r="AE34" s="579">
        <v>0</v>
      </c>
      <c r="AF34" s="589">
        <v>42</v>
      </c>
      <c r="AG34" s="589">
        <v>86</v>
      </c>
      <c r="AH34" s="571">
        <f t="shared" si="54"/>
        <v>104.8</v>
      </c>
    </row>
    <row r="35" spans="1:34" s="167" customFormat="1">
      <c r="A35" s="309"/>
      <c r="B35" s="611" t="s">
        <v>49</v>
      </c>
      <c r="C35" s="608">
        <v>1543</v>
      </c>
      <c r="D35" s="608">
        <v>276</v>
      </c>
      <c r="E35" s="608">
        <v>653</v>
      </c>
      <c r="F35" s="608">
        <v>344</v>
      </c>
      <c r="G35" s="608">
        <v>126</v>
      </c>
      <c r="H35" s="630">
        <v>0</v>
      </c>
      <c r="I35" s="589">
        <v>11</v>
      </c>
      <c r="J35" s="579">
        <v>0</v>
      </c>
      <c r="K35" s="578">
        <f t="shared" si="44"/>
        <v>0</v>
      </c>
      <c r="L35" s="589">
        <f t="shared" si="44"/>
        <v>0</v>
      </c>
      <c r="M35" s="171">
        <v>0</v>
      </c>
      <c r="N35" s="589">
        <v>0</v>
      </c>
      <c r="O35" s="589">
        <v>11</v>
      </c>
      <c r="P35" s="579">
        <v>0</v>
      </c>
      <c r="Q35" s="578">
        <f t="shared" si="55"/>
        <v>55</v>
      </c>
      <c r="R35" s="589">
        <f t="shared" si="56"/>
        <v>13</v>
      </c>
      <c r="S35" s="571">
        <f t="shared" si="57"/>
        <v>-76.400000000000006</v>
      </c>
      <c r="T35" s="589">
        <v>55</v>
      </c>
      <c r="U35" s="589">
        <v>24</v>
      </c>
      <c r="V35" s="571">
        <f t="shared" si="49"/>
        <v>-56.4</v>
      </c>
      <c r="W35" s="578">
        <f t="shared" si="61"/>
        <v>0</v>
      </c>
      <c r="X35" s="589">
        <f t="shared" si="62"/>
        <v>0</v>
      </c>
      <c r="Y35" s="579">
        <v>0</v>
      </c>
      <c r="Z35" s="630">
        <v>55</v>
      </c>
      <c r="AA35" s="630">
        <v>24</v>
      </c>
      <c r="AB35" s="571">
        <f t="shared" si="52"/>
        <v>-56.4</v>
      </c>
      <c r="AC35" s="578">
        <f t="shared" si="58"/>
        <v>9</v>
      </c>
      <c r="AD35" s="589">
        <f t="shared" si="59"/>
        <v>0</v>
      </c>
      <c r="AE35" s="571">
        <f t="shared" si="60"/>
        <v>-100</v>
      </c>
      <c r="AF35" s="589">
        <v>64</v>
      </c>
      <c r="AG35" s="589">
        <v>24</v>
      </c>
      <c r="AH35" s="571">
        <f t="shared" si="54"/>
        <v>-62.5</v>
      </c>
    </row>
    <row r="36" spans="1:34" s="167" customFormat="1">
      <c r="A36" s="309"/>
      <c r="B36" s="611" t="s">
        <v>560</v>
      </c>
      <c r="C36" s="608">
        <v>4</v>
      </c>
      <c r="D36" s="608">
        <v>9</v>
      </c>
      <c r="E36" s="608">
        <v>14</v>
      </c>
      <c r="F36" s="608">
        <v>60</v>
      </c>
      <c r="G36" s="608">
        <v>100</v>
      </c>
      <c r="H36" s="630">
        <v>0</v>
      </c>
      <c r="I36" s="589">
        <v>8</v>
      </c>
      <c r="J36" s="579">
        <v>0</v>
      </c>
      <c r="K36" s="578">
        <f t="shared" ref="K36" si="63">N36-H36</f>
        <v>17</v>
      </c>
      <c r="L36" s="589">
        <f t="shared" ref="L36" si="64">O36-I36</f>
        <v>11</v>
      </c>
      <c r="M36" s="571">
        <f t="shared" ref="M36" si="65">ROUND(((L36/K36-1)*100), 1)</f>
        <v>-35.299999999999997</v>
      </c>
      <c r="N36" s="589">
        <v>17</v>
      </c>
      <c r="O36" s="589">
        <v>19</v>
      </c>
      <c r="P36" s="571">
        <f t="shared" si="46"/>
        <v>11.8</v>
      </c>
      <c r="Q36" s="578">
        <f t="shared" si="55"/>
        <v>7</v>
      </c>
      <c r="R36" s="589">
        <f t="shared" si="56"/>
        <v>22</v>
      </c>
      <c r="S36" s="571">
        <f t="shared" si="57"/>
        <v>214.3</v>
      </c>
      <c r="T36" s="589">
        <v>24</v>
      </c>
      <c r="U36" s="589">
        <v>41</v>
      </c>
      <c r="V36" s="571">
        <f t="shared" si="49"/>
        <v>70.8</v>
      </c>
      <c r="W36" s="578">
        <f t="shared" si="61"/>
        <v>21</v>
      </c>
      <c r="X36" s="589">
        <f t="shared" si="62"/>
        <v>9</v>
      </c>
      <c r="Y36" s="571">
        <f t="shared" ref="Y36:Y43" si="66">ROUND(((X36/W36-1)*100), 1)</f>
        <v>-57.1</v>
      </c>
      <c r="Z36" s="630">
        <v>45</v>
      </c>
      <c r="AA36" s="630">
        <v>50</v>
      </c>
      <c r="AB36" s="571">
        <f t="shared" si="52"/>
        <v>11.1</v>
      </c>
      <c r="AC36" s="578">
        <f t="shared" si="58"/>
        <v>15</v>
      </c>
      <c r="AD36" s="589">
        <f t="shared" si="59"/>
        <v>33</v>
      </c>
      <c r="AE36" s="571">
        <f t="shared" si="60"/>
        <v>120</v>
      </c>
      <c r="AF36" s="589">
        <v>60</v>
      </c>
      <c r="AG36" s="589">
        <v>83</v>
      </c>
      <c r="AH36" s="571">
        <f t="shared" si="54"/>
        <v>38.299999999999997</v>
      </c>
    </row>
    <row r="37" spans="1:34">
      <c r="A37" s="3"/>
      <c r="B37" s="39" t="s">
        <v>115</v>
      </c>
      <c r="C37" s="40">
        <v>55</v>
      </c>
      <c r="D37" s="40">
        <v>30</v>
      </c>
      <c r="E37" s="40">
        <v>27</v>
      </c>
      <c r="F37" s="40">
        <v>25</v>
      </c>
      <c r="G37" s="608">
        <v>93</v>
      </c>
      <c r="H37" s="630">
        <v>0</v>
      </c>
      <c r="I37" s="589">
        <v>0</v>
      </c>
      <c r="J37" s="579">
        <v>0</v>
      </c>
      <c r="K37" s="270">
        <f>N37-H37</f>
        <v>6</v>
      </c>
      <c r="L37" s="366">
        <f>O37-I37</f>
        <v>0</v>
      </c>
      <c r="M37" s="579">
        <v>0</v>
      </c>
      <c r="N37" s="589">
        <v>6</v>
      </c>
      <c r="O37" s="589">
        <v>0</v>
      </c>
      <c r="P37" s="571">
        <f t="shared" si="46"/>
        <v>-100</v>
      </c>
      <c r="Q37" s="578">
        <f t="shared" si="55"/>
        <v>40</v>
      </c>
      <c r="R37" s="589">
        <f t="shared" si="56"/>
        <v>0</v>
      </c>
      <c r="S37" s="571">
        <f t="shared" si="57"/>
        <v>-100</v>
      </c>
      <c r="T37" s="589">
        <v>46</v>
      </c>
      <c r="U37" s="589">
        <v>0</v>
      </c>
      <c r="V37" s="571">
        <f t="shared" si="49"/>
        <v>-100</v>
      </c>
      <c r="W37" s="578">
        <f t="shared" si="61"/>
        <v>0</v>
      </c>
      <c r="X37" s="589">
        <f t="shared" si="62"/>
        <v>0</v>
      </c>
      <c r="Y37" s="579">
        <v>0</v>
      </c>
      <c r="Z37" s="630">
        <v>46</v>
      </c>
      <c r="AA37" s="630">
        <v>0</v>
      </c>
      <c r="AB37" s="571">
        <f t="shared" si="52"/>
        <v>-100</v>
      </c>
      <c r="AC37" s="578">
        <f t="shared" si="58"/>
        <v>21</v>
      </c>
      <c r="AD37" s="589">
        <f t="shared" si="59"/>
        <v>0</v>
      </c>
      <c r="AE37" s="571">
        <f t="shared" si="60"/>
        <v>-100</v>
      </c>
      <c r="AF37" s="589">
        <v>67</v>
      </c>
      <c r="AG37" s="589">
        <v>0</v>
      </c>
      <c r="AH37" s="571">
        <f t="shared" si="54"/>
        <v>-100</v>
      </c>
    </row>
    <row r="38" spans="1:34" s="605" customFormat="1">
      <c r="A38" s="675"/>
      <c r="B38" s="611" t="s">
        <v>535</v>
      </c>
      <c r="C38" s="608">
        <v>11</v>
      </c>
      <c r="D38" s="608">
        <v>1</v>
      </c>
      <c r="E38" s="608">
        <v>37</v>
      </c>
      <c r="F38" s="608">
        <v>30</v>
      </c>
      <c r="G38" s="608">
        <v>89</v>
      </c>
      <c r="H38" s="630">
        <v>9</v>
      </c>
      <c r="I38" s="589">
        <v>15</v>
      </c>
      <c r="J38" s="571">
        <f t="shared" si="43"/>
        <v>66.7</v>
      </c>
      <c r="K38" s="578">
        <f t="shared" ref="K38" si="67">N38-H38</f>
        <v>13</v>
      </c>
      <c r="L38" s="589">
        <f t="shared" ref="L38" si="68">O38-I38</f>
        <v>2</v>
      </c>
      <c r="M38" s="571">
        <f t="shared" ref="M38" si="69">ROUND(((L38/K38-1)*100), 1)</f>
        <v>-84.6</v>
      </c>
      <c r="N38" s="589">
        <v>22</v>
      </c>
      <c r="O38" s="589">
        <v>17</v>
      </c>
      <c r="P38" s="571">
        <f t="shared" si="46"/>
        <v>-22.7</v>
      </c>
      <c r="Q38" s="578">
        <f t="shared" si="55"/>
        <v>0</v>
      </c>
      <c r="R38" s="589">
        <f t="shared" si="56"/>
        <v>9</v>
      </c>
      <c r="S38" s="579">
        <v>0</v>
      </c>
      <c r="T38" s="589">
        <v>22</v>
      </c>
      <c r="U38" s="589">
        <v>26</v>
      </c>
      <c r="V38" s="571">
        <f t="shared" si="49"/>
        <v>18.2</v>
      </c>
      <c r="W38" s="578">
        <f t="shared" si="61"/>
        <v>8</v>
      </c>
      <c r="X38" s="589">
        <f t="shared" si="62"/>
        <v>7</v>
      </c>
      <c r="Y38" s="571">
        <f t="shared" si="66"/>
        <v>-12.5</v>
      </c>
      <c r="Z38" s="630">
        <v>30</v>
      </c>
      <c r="AA38" s="630">
        <v>33</v>
      </c>
      <c r="AB38" s="571">
        <f t="shared" si="52"/>
        <v>10</v>
      </c>
      <c r="AC38" s="578">
        <f t="shared" si="58"/>
        <v>8</v>
      </c>
      <c r="AD38" s="589">
        <f t="shared" si="59"/>
        <v>4</v>
      </c>
      <c r="AE38" s="571">
        <f t="shared" si="60"/>
        <v>-50</v>
      </c>
      <c r="AF38" s="589">
        <v>38</v>
      </c>
      <c r="AG38" s="589">
        <v>37</v>
      </c>
      <c r="AH38" s="571">
        <f t="shared" si="54"/>
        <v>-2.6</v>
      </c>
    </row>
    <row r="39" spans="1:34">
      <c r="A39" s="3"/>
      <c r="B39" s="39" t="s">
        <v>93</v>
      </c>
      <c r="C39" s="40">
        <v>94</v>
      </c>
      <c r="D39" s="40">
        <v>61</v>
      </c>
      <c r="E39" s="40">
        <v>72</v>
      </c>
      <c r="F39" s="40">
        <v>74</v>
      </c>
      <c r="G39" s="608">
        <v>84</v>
      </c>
      <c r="H39" s="630">
        <v>4</v>
      </c>
      <c r="I39" s="589">
        <v>6</v>
      </c>
      <c r="J39" s="571">
        <f t="shared" si="43"/>
        <v>50</v>
      </c>
      <c r="K39" s="270">
        <f t="shared" ref="K39:L45" si="70">N39-H39</f>
        <v>7</v>
      </c>
      <c r="L39" s="366">
        <f t="shared" si="70"/>
        <v>0</v>
      </c>
      <c r="M39" s="235">
        <f>ROUND(((L39/K39-1)*100), 1)</f>
        <v>-100</v>
      </c>
      <c r="N39" s="589">
        <v>11</v>
      </c>
      <c r="O39" s="589">
        <v>6</v>
      </c>
      <c r="P39" s="235">
        <f>ROUND(((O39/N39-1)*100), 1)</f>
        <v>-45.5</v>
      </c>
      <c r="Q39" s="578">
        <f t="shared" si="55"/>
        <v>7</v>
      </c>
      <c r="R39" s="589">
        <f t="shared" si="56"/>
        <v>16</v>
      </c>
      <c r="S39" s="571">
        <f t="shared" si="57"/>
        <v>128.6</v>
      </c>
      <c r="T39" s="589">
        <v>18</v>
      </c>
      <c r="U39" s="589">
        <v>22</v>
      </c>
      <c r="V39" s="571">
        <f t="shared" si="49"/>
        <v>22.2</v>
      </c>
      <c r="W39" s="578">
        <f t="shared" si="61"/>
        <v>9</v>
      </c>
      <c r="X39" s="589">
        <f t="shared" si="62"/>
        <v>8</v>
      </c>
      <c r="Y39" s="571">
        <f t="shared" si="66"/>
        <v>-11.1</v>
      </c>
      <c r="Z39" s="630">
        <v>27</v>
      </c>
      <c r="AA39" s="630">
        <v>30</v>
      </c>
      <c r="AB39" s="571">
        <f t="shared" si="52"/>
        <v>11.1</v>
      </c>
      <c r="AC39" s="578">
        <f t="shared" si="58"/>
        <v>10</v>
      </c>
      <c r="AD39" s="589">
        <f t="shared" si="59"/>
        <v>9</v>
      </c>
      <c r="AE39" s="571">
        <f t="shared" si="60"/>
        <v>-10</v>
      </c>
      <c r="AF39" s="589">
        <v>37</v>
      </c>
      <c r="AG39" s="589">
        <v>39</v>
      </c>
      <c r="AH39" s="571">
        <f t="shared" si="54"/>
        <v>5.4</v>
      </c>
    </row>
    <row r="40" spans="1:34">
      <c r="A40" s="3"/>
      <c r="B40" s="39" t="s">
        <v>232</v>
      </c>
      <c r="C40" s="40">
        <v>61</v>
      </c>
      <c r="D40" s="40">
        <v>47</v>
      </c>
      <c r="E40" s="40">
        <v>30</v>
      </c>
      <c r="F40" s="40">
        <v>24</v>
      </c>
      <c r="G40" s="608">
        <v>76</v>
      </c>
      <c r="H40" s="630">
        <v>3</v>
      </c>
      <c r="I40" s="589">
        <v>0</v>
      </c>
      <c r="J40" s="571">
        <f t="shared" si="43"/>
        <v>-100</v>
      </c>
      <c r="K40" s="270">
        <f t="shared" si="70"/>
        <v>2</v>
      </c>
      <c r="L40" s="366">
        <f t="shared" si="70"/>
        <v>0</v>
      </c>
      <c r="M40" s="235">
        <f>ROUND(((L40/K40-1)*100), 1)</f>
        <v>-100</v>
      </c>
      <c r="N40" s="589">
        <v>5</v>
      </c>
      <c r="O40" s="589">
        <v>0</v>
      </c>
      <c r="P40" s="235">
        <f>ROUND(((O40/N40-1)*100), 1)</f>
        <v>-100</v>
      </c>
      <c r="Q40" s="578">
        <f t="shared" si="55"/>
        <v>0</v>
      </c>
      <c r="R40" s="589">
        <f t="shared" si="56"/>
        <v>0</v>
      </c>
      <c r="S40" s="579">
        <v>0</v>
      </c>
      <c r="T40" s="589">
        <v>5</v>
      </c>
      <c r="U40" s="589">
        <v>0</v>
      </c>
      <c r="V40" s="571">
        <f t="shared" si="49"/>
        <v>-100</v>
      </c>
      <c r="W40" s="578">
        <f t="shared" si="61"/>
        <v>1</v>
      </c>
      <c r="X40" s="589">
        <f t="shared" si="62"/>
        <v>3</v>
      </c>
      <c r="Y40" s="571">
        <f t="shared" si="66"/>
        <v>200</v>
      </c>
      <c r="Z40" s="630">
        <v>6</v>
      </c>
      <c r="AA40" s="630">
        <v>3</v>
      </c>
      <c r="AB40" s="235">
        <f t="shared" ref="AB40:AB47" si="71">ROUND(((AA40/Z40-1)*100), 1)</f>
        <v>-50</v>
      </c>
      <c r="AC40" s="578">
        <f t="shared" si="58"/>
        <v>1</v>
      </c>
      <c r="AD40" s="589">
        <f t="shared" si="59"/>
        <v>7</v>
      </c>
      <c r="AE40" s="571">
        <f t="shared" si="60"/>
        <v>600</v>
      </c>
      <c r="AF40" s="589">
        <v>7</v>
      </c>
      <c r="AG40" s="589">
        <v>10</v>
      </c>
      <c r="AH40" s="235">
        <f t="shared" ref="AH40:AH47" si="72">ROUND(((AG40/AF40-1)*100), 1)</f>
        <v>42.9</v>
      </c>
    </row>
    <row r="41" spans="1:34">
      <c r="A41" s="3"/>
      <c r="B41" s="39" t="s">
        <v>120</v>
      </c>
      <c r="C41" s="40">
        <v>58</v>
      </c>
      <c r="D41" s="40">
        <v>33</v>
      </c>
      <c r="E41" s="40">
        <v>34</v>
      </c>
      <c r="F41" s="40">
        <v>77</v>
      </c>
      <c r="G41" s="608">
        <v>40</v>
      </c>
      <c r="H41" s="630">
        <v>0</v>
      </c>
      <c r="I41" s="589">
        <v>3</v>
      </c>
      <c r="J41" s="579">
        <v>0</v>
      </c>
      <c r="K41" s="270">
        <f t="shared" si="70"/>
        <v>9</v>
      </c>
      <c r="L41" s="366">
        <f t="shared" si="70"/>
        <v>0</v>
      </c>
      <c r="M41" s="571">
        <f>ROUND(((L41/K41-1)*100), 1)</f>
        <v>-100</v>
      </c>
      <c r="N41" s="589">
        <v>9</v>
      </c>
      <c r="O41" s="589">
        <v>3</v>
      </c>
      <c r="P41" s="571">
        <f>ROUND(((O41/N41-1)*100), 1)</f>
        <v>-66.7</v>
      </c>
      <c r="Q41" s="578">
        <f t="shared" si="55"/>
        <v>7</v>
      </c>
      <c r="R41" s="589">
        <f t="shared" si="56"/>
        <v>0</v>
      </c>
      <c r="S41" s="571">
        <f t="shared" si="57"/>
        <v>-100</v>
      </c>
      <c r="T41" s="589">
        <v>16</v>
      </c>
      <c r="U41" s="589">
        <v>3</v>
      </c>
      <c r="V41" s="571">
        <f t="shared" si="49"/>
        <v>-81.3</v>
      </c>
      <c r="W41" s="578">
        <f t="shared" si="61"/>
        <v>1</v>
      </c>
      <c r="X41" s="589">
        <f t="shared" si="62"/>
        <v>9</v>
      </c>
      <c r="Y41" s="571">
        <f t="shared" si="66"/>
        <v>800</v>
      </c>
      <c r="Z41" s="630">
        <v>17</v>
      </c>
      <c r="AA41" s="630">
        <v>12</v>
      </c>
      <c r="AB41" s="571">
        <f t="shared" si="71"/>
        <v>-29.4</v>
      </c>
      <c r="AC41" s="578">
        <f t="shared" si="58"/>
        <v>1</v>
      </c>
      <c r="AD41" s="589">
        <f t="shared" si="59"/>
        <v>25</v>
      </c>
      <c r="AE41" s="571">
        <f t="shared" si="60"/>
        <v>2400</v>
      </c>
      <c r="AF41" s="589">
        <v>18</v>
      </c>
      <c r="AG41" s="589">
        <v>37</v>
      </c>
      <c r="AH41" s="235">
        <f t="shared" si="72"/>
        <v>105.6</v>
      </c>
    </row>
    <row r="42" spans="1:34">
      <c r="A42" s="3"/>
      <c r="B42" s="39" t="s">
        <v>64</v>
      </c>
      <c r="C42" s="40">
        <v>103</v>
      </c>
      <c r="D42" s="40">
        <v>125</v>
      </c>
      <c r="E42" s="40">
        <v>31</v>
      </c>
      <c r="F42" s="40">
        <v>32</v>
      </c>
      <c r="G42" s="608">
        <v>33</v>
      </c>
      <c r="H42" s="630">
        <v>9</v>
      </c>
      <c r="I42" s="589">
        <v>0</v>
      </c>
      <c r="J42" s="571">
        <f t="shared" si="43"/>
        <v>-100</v>
      </c>
      <c r="K42" s="270">
        <f t="shared" si="70"/>
        <v>0</v>
      </c>
      <c r="L42" s="366">
        <f t="shared" si="70"/>
        <v>1</v>
      </c>
      <c r="M42" s="579">
        <v>0</v>
      </c>
      <c r="N42" s="589">
        <v>9</v>
      </c>
      <c r="O42" s="589">
        <v>1</v>
      </c>
      <c r="P42" s="235">
        <f>ROUND(((O42/N42-1)*100), 1)</f>
        <v>-88.9</v>
      </c>
      <c r="Q42" s="578">
        <f t="shared" si="55"/>
        <v>0</v>
      </c>
      <c r="R42" s="589">
        <f t="shared" si="56"/>
        <v>7</v>
      </c>
      <c r="S42" s="579">
        <v>0</v>
      </c>
      <c r="T42" s="589">
        <v>9</v>
      </c>
      <c r="U42" s="589">
        <v>8</v>
      </c>
      <c r="V42" s="571">
        <f t="shared" si="49"/>
        <v>-11.1</v>
      </c>
      <c r="W42" s="578">
        <f t="shared" si="61"/>
        <v>5</v>
      </c>
      <c r="X42" s="589">
        <f t="shared" si="62"/>
        <v>0</v>
      </c>
      <c r="Y42" s="571">
        <f t="shared" si="66"/>
        <v>-100</v>
      </c>
      <c r="Z42" s="630">
        <v>14</v>
      </c>
      <c r="AA42" s="630">
        <v>8</v>
      </c>
      <c r="AB42" s="235">
        <f t="shared" si="71"/>
        <v>-42.9</v>
      </c>
      <c r="AC42" s="578">
        <f t="shared" si="58"/>
        <v>0</v>
      </c>
      <c r="AD42" s="589">
        <f t="shared" si="59"/>
        <v>0</v>
      </c>
      <c r="AE42" s="579">
        <v>0</v>
      </c>
      <c r="AF42" s="589">
        <v>14</v>
      </c>
      <c r="AG42" s="589">
        <v>8</v>
      </c>
      <c r="AH42" s="235">
        <f t="shared" si="72"/>
        <v>-42.9</v>
      </c>
    </row>
    <row r="43" spans="1:34">
      <c r="A43" s="3"/>
      <c r="B43" s="39" t="s">
        <v>65</v>
      </c>
      <c r="C43" s="40">
        <v>20</v>
      </c>
      <c r="D43" s="40">
        <v>16</v>
      </c>
      <c r="E43" s="40">
        <v>27</v>
      </c>
      <c r="F43" s="40">
        <v>17</v>
      </c>
      <c r="G43" s="608">
        <v>29</v>
      </c>
      <c r="H43" s="630">
        <v>0</v>
      </c>
      <c r="I43" s="589">
        <v>0</v>
      </c>
      <c r="J43" s="579">
        <v>0</v>
      </c>
      <c r="K43" s="270">
        <f t="shared" si="70"/>
        <v>1</v>
      </c>
      <c r="L43" s="366">
        <f t="shared" si="70"/>
        <v>2</v>
      </c>
      <c r="M43" s="571">
        <f>ROUND(((L43/K43-1)*100), 1)</f>
        <v>100</v>
      </c>
      <c r="N43" s="589">
        <v>1</v>
      </c>
      <c r="O43" s="589">
        <v>2</v>
      </c>
      <c r="P43" s="571">
        <f>ROUND(((O43/N43-1)*100), 1)</f>
        <v>100</v>
      </c>
      <c r="Q43" s="578">
        <f t="shared" si="55"/>
        <v>0</v>
      </c>
      <c r="R43" s="589">
        <f t="shared" si="56"/>
        <v>0</v>
      </c>
      <c r="S43" s="579">
        <v>0</v>
      </c>
      <c r="T43" s="589">
        <v>1</v>
      </c>
      <c r="U43" s="589">
        <v>2</v>
      </c>
      <c r="V43" s="235">
        <f t="shared" ref="V43:V45" si="73">ROUND(((U43/T43-1)*100), 1)</f>
        <v>100</v>
      </c>
      <c r="W43" s="578">
        <f t="shared" si="61"/>
        <v>4</v>
      </c>
      <c r="X43" s="589">
        <f t="shared" si="62"/>
        <v>4</v>
      </c>
      <c r="Y43" s="571">
        <f t="shared" si="66"/>
        <v>0</v>
      </c>
      <c r="Z43" s="630">
        <v>5</v>
      </c>
      <c r="AA43" s="630">
        <v>6</v>
      </c>
      <c r="AB43" s="235">
        <f t="shared" si="71"/>
        <v>20</v>
      </c>
      <c r="AC43" s="578">
        <f t="shared" si="58"/>
        <v>4</v>
      </c>
      <c r="AD43" s="589">
        <f t="shared" si="59"/>
        <v>3</v>
      </c>
      <c r="AE43" s="571">
        <f t="shared" si="60"/>
        <v>-25</v>
      </c>
      <c r="AF43" s="589">
        <v>9</v>
      </c>
      <c r="AG43" s="589">
        <v>9</v>
      </c>
      <c r="AH43" s="235">
        <f t="shared" si="72"/>
        <v>0</v>
      </c>
    </row>
    <row r="44" spans="1:34">
      <c r="A44" s="3"/>
      <c r="B44" s="39" t="s">
        <v>66</v>
      </c>
      <c r="C44" s="40">
        <v>45</v>
      </c>
      <c r="D44" s="40">
        <v>136</v>
      </c>
      <c r="E44" s="40">
        <v>68</v>
      </c>
      <c r="F44" s="40">
        <v>11</v>
      </c>
      <c r="G44" s="608">
        <v>21</v>
      </c>
      <c r="H44" s="630">
        <v>0</v>
      </c>
      <c r="I44" s="589">
        <v>2</v>
      </c>
      <c r="J44" s="579">
        <v>0</v>
      </c>
      <c r="K44" s="270">
        <f t="shared" si="70"/>
        <v>0</v>
      </c>
      <c r="L44" s="366">
        <f t="shared" si="70"/>
        <v>0</v>
      </c>
      <c r="M44" s="579">
        <v>0</v>
      </c>
      <c r="N44" s="589">
        <v>0</v>
      </c>
      <c r="O44" s="589">
        <v>2</v>
      </c>
      <c r="P44" s="579">
        <v>0</v>
      </c>
      <c r="Q44" s="578">
        <f t="shared" si="55"/>
        <v>5</v>
      </c>
      <c r="R44" s="589">
        <f t="shared" si="56"/>
        <v>0</v>
      </c>
      <c r="S44" s="571">
        <f t="shared" si="57"/>
        <v>-100</v>
      </c>
      <c r="T44" s="589">
        <v>5</v>
      </c>
      <c r="U44" s="589">
        <v>2</v>
      </c>
      <c r="V44" s="235">
        <f t="shared" si="73"/>
        <v>-60</v>
      </c>
      <c r="W44" s="578">
        <f t="shared" si="61"/>
        <v>0</v>
      </c>
      <c r="X44" s="589">
        <f t="shared" si="62"/>
        <v>0</v>
      </c>
      <c r="Y44" s="579">
        <v>0</v>
      </c>
      <c r="Z44" s="630">
        <v>5</v>
      </c>
      <c r="AA44" s="630">
        <v>2</v>
      </c>
      <c r="AB44" s="235">
        <f t="shared" si="71"/>
        <v>-60</v>
      </c>
      <c r="AC44" s="270">
        <f t="shared" ref="AC44:AD45" si="74">AF44-Z44</f>
        <v>0</v>
      </c>
      <c r="AD44" s="366">
        <f t="shared" si="74"/>
        <v>12</v>
      </c>
      <c r="AE44" s="579">
        <v>0</v>
      </c>
      <c r="AF44" s="589">
        <v>5</v>
      </c>
      <c r="AG44" s="589">
        <v>14</v>
      </c>
      <c r="AH44" s="235">
        <f t="shared" si="72"/>
        <v>180</v>
      </c>
    </row>
    <row r="45" spans="1:34">
      <c r="A45" s="3"/>
      <c r="B45" s="39" t="s">
        <v>198</v>
      </c>
      <c r="C45" s="40">
        <v>22</v>
      </c>
      <c r="D45" s="40">
        <v>8</v>
      </c>
      <c r="E45" s="40">
        <v>13</v>
      </c>
      <c r="F45" s="40">
        <v>4</v>
      </c>
      <c r="G45" s="608">
        <v>11</v>
      </c>
      <c r="H45" s="630">
        <v>1</v>
      </c>
      <c r="I45" s="589">
        <v>1</v>
      </c>
      <c r="J45" s="571">
        <f t="shared" si="43"/>
        <v>0</v>
      </c>
      <c r="K45" s="270">
        <f t="shared" si="70"/>
        <v>0</v>
      </c>
      <c r="L45" s="366">
        <f t="shared" si="70"/>
        <v>0</v>
      </c>
      <c r="M45" s="579">
        <v>0</v>
      </c>
      <c r="N45" s="589">
        <v>1</v>
      </c>
      <c r="O45" s="589">
        <v>1</v>
      </c>
      <c r="P45" s="571">
        <f>ROUND(((O45/N45-1)*100), 1)</f>
        <v>0</v>
      </c>
      <c r="Q45" s="578">
        <f t="shared" si="55"/>
        <v>2</v>
      </c>
      <c r="R45" s="589">
        <f t="shared" si="56"/>
        <v>2</v>
      </c>
      <c r="S45" s="571">
        <f t="shared" si="57"/>
        <v>0</v>
      </c>
      <c r="T45" s="589">
        <v>3</v>
      </c>
      <c r="U45" s="589">
        <v>3</v>
      </c>
      <c r="V45" s="571">
        <f t="shared" si="73"/>
        <v>0</v>
      </c>
      <c r="W45" s="270">
        <f t="shared" ref="W45:X45" si="75">Z45-T45</f>
        <v>1</v>
      </c>
      <c r="X45" s="366">
        <f t="shared" si="75"/>
        <v>0</v>
      </c>
      <c r="Y45" s="235">
        <f>ROUND(((X45/W45-1)*100), 1)</f>
        <v>-100</v>
      </c>
      <c r="Z45" s="630">
        <v>4</v>
      </c>
      <c r="AA45" s="630">
        <v>3</v>
      </c>
      <c r="AB45" s="235">
        <f t="shared" si="71"/>
        <v>-25</v>
      </c>
      <c r="AC45" s="270">
        <f t="shared" si="74"/>
        <v>4</v>
      </c>
      <c r="AD45" s="366">
        <f t="shared" si="74"/>
        <v>0</v>
      </c>
      <c r="AE45" s="571">
        <f t="shared" ref="AE45:AE47" si="76">ROUND(((AD45/AC45-1)*100), 1)</f>
        <v>-100</v>
      </c>
      <c r="AF45" s="589">
        <v>8</v>
      </c>
      <c r="AG45" s="589">
        <v>3</v>
      </c>
      <c r="AH45" s="235">
        <f t="shared" si="72"/>
        <v>-62.5</v>
      </c>
    </row>
    <row r="46" spans="1:34">
      <c r="A46" s="3"/>
      <c r="B46" s="39" t="s">
        <v>18</v>
      </c>
      <c r="C46" s="40">
        <f t="shared" ref="C46:I46" si="77">C47-SUM(C28:C45)</f>
        <v>396</v>
      </c>
      <c r="D46" s="40">
        <f t="shared" si="77"/>
        <v>297</v>
      </c>
      <c r="E46" s="40">
        <f t="shared" si="77"/>
        <v>69</v>
      </c>
      <c r="F46" s="40">
        <f t="shared" si="77"/>
        <v>86</v>
      </c>
      <c r="G46" s="608">
        <f t="shared" si="77"/>
        <v>29</v>
      </c>
      <c r="H46" s="630">
        <f t="shared" si="77"/>
        <v>1</v>
      </c>
      <c r="I46" s="589">
        <f t="shared" si="77"/>
        <v>2</v>
      </c>
      <c r="J46" s="235">
        <f>ROUND(((I46/H46-1)*100), 1)</f>
        <v>100</v>
      </c>
      <c r="K46" s="359">
        <f>K47-SUM(K28:K45)</f>
        <v>4</v>
      </c>
      <c r="L46" s="366">
        <f>L47-SUM(L28:L45)</f>
        <v>17</v>
      </c>
      <c r="M46" s="235">
        <f>ROUND(((L46/K46-1)*100), 1)</f>
        <v>325</v>
      </c>
      <c r="N46" s="589">
        <f>N47-SUM(N28:N45)</f>
        <v>5</v>
      </c>
      <c r="O46" s="589">
        <f>O47-SUM(O28:O45)</f>
        <v>19</v>
      </c>
      <c r="P46" s="235">
        <f>ROUND(((O46/N46-1)*100), 1)</f>
        <v>280</v>
      </c>
      <c r="Q46" s="359">
        <f>Q47-SUM(Q28:Q45)</f>
        <v>1</v>
      </c>
      <c r="R46" s="366">
        <f>R47-SUM(R28:R45)</f>
        <v>5</v>
      </c>
      <c r="S46" s="235">
        <f>ROUND(((R46/Q46-1)*100), 1)</f>
        <v>400</v>
      </c>
      <c r="T46" s="589">
        <f>T47-SUM(T28:T45)</f>
        <v>6</v>
      </c>
      <c r="U46" s="589">
        <f>U47-SUM(U28:U45)</f>
        <v>24</v>
      </c>
      <c r="V46" s="235">
        <f>ROUND(((U46/T46-1)*100), 1)</f>
        <v>300</v>
      </c>
      <c r="W46" s="468">
        <f>W47-SUM(W28:W45)</f>
        <v>3</v>
      </c>
      <c r="X46" s="366">
        <f>X47-SUM(X28:X45)</f>
        <v>4</v>
      </c>
      <c r="Y46" s="235">
        <f>ROUND(((X46/W46-1)*100), 1)</f>
        <v>33.299999999999997</v>
      </c>
      <c r="Z46" s="630">
        <f>Z47-SUM(Z28:Z45)</f>
        <v>9</v>
      </c>
      <c r="AA46" s="630">
        <f>AA47-SUM(AA28:AA45)</f>
        <v>28</v>
      </c>
      <c r="AB46" s="235">
        <f t="shared" si="71"/>
        <v>211.1</v>
      </c>
      <c r="AC46" s="468">
        <f>AC47-SUM(AC28:AC45)</f>
        <v>2</v>
      </c>
      <c r="AD46" s="366">
        <f>AD47-SUM(AD28:AD45)</f>
        <v>7</v>
      </c>
      <c r="AE46" s="235">
        <f t="shared" si="76"/>
        <v>250</v>
      </c>
      <c r="AF46" s="589">
        <f>AF47-SUM(AF28:AF45)</f>
        <v>11</v>
      </c>
      <c r="AG46" s="589">
        <f>AG47-SUM(AG28:AG45)</f>
        <v>35</v>
      </c>
      <c r="AH46" s="235">
        <f t="shared" si="72"/>
        <v>218.2</v>
      </c>
    </row>
    <row r="47" spans="1:34">
      <c r="A47" s="8"/>
      <c r="B47" s="63" t="s">
        <v>101</v>
      </c>
      <c r="C47" s="42">
        <v>11946</v>
      </c>
      <c r="D47" s="42">
        <v>17913</v>
      </c>
      <c r="E47" s="42">
        <v>25260</v>
      </c>
      <c r="F47" s="42">
        <v>28129</v>
      </c>
      <c r="G47" s="609">
        <v>23160</v>
      </c>
      <c r="H47" s="632">
        <v>2221</v>
      </c>
      <c r="I47" s="582">
        <v>1431</v>
      </c>
      <c r="J47" s="236">
        <f>ROUND(((I47/H47-1)*100), 1)</f>
        <v>-35.6</v>
      </c>
      <c r="K47" s="268">
        <f>N47-H47</f>
        <v>1500</v>
      </c>
      <c r="L47" s="280">
        <f>O47-I47</f>
        <v>1312</v>
      </c>
      <c r="M47" s="236">
        <f>ROUND(((L47/K47-1)*100), 1)</f>
        <v>-12.5</v>
      </c>
      <c r="N47" s="582">
        <v>3721</v>
      </c>
      <c r="O47" s="582">
        <v>2743</v>
      </c>
      <c r="P47" s="236">
        <f>ROUND(((O47/N47-1)*100), 1)</f>
        <v>-26.3</v>
      </c>
      <c r="Q47" s="268">
        <f>T47-N47</f>
        <v>2299</v>
      </c>
      <c r="R47" s="280">
        <f>U47-O47</f>
        <v>1347</v>
      </c>
      <c r="S47" s="236">
        <f>ROUND(((R47/Q47-1)*100), 1)</f>
        <v>-41.4</v>
      </c>
      <c r="T47" s="582">
        <v>6020</v>
      </c>
      <c r="U47" s="582">
        <v>4090</v>
      </c>
      <c r="V47" s="236">
        <f>ROUND(((U47/T47-1)*100), 1)</f>
        <v>-32.1</v>
      </c>
      <c r="W47" s="268">
        <f>Z47-T47</f>
        <v>2376</v>
      </c>
      <c r="X47" s="280">
        <f>AA47-U47</f>
        <v>1680</v>
      </c>
      <c r="Y47" s="236">
        <f>ROUND(((X47/W47-1)*100), 1)</f>
        <v>-29.3</v>
      </c>
      <c r="Z47" s="632">
        <v>8396</v>
      </c>
      <c r="AA47" s="632">
        <v>5770</v>
      </c>
      <c r="AB47" s="236">
        <f t="shared" si="71"/>
        <v>-31.3</v>
      </c>
      <c r="AC47" s="268">
        <f>AF47-Z47</f>
        <v>1970</v>
      </c>
      <c r="AD47" s="280">
        <f>AG47-AA47</f>
        <v>1539</v>
      </c>
      <c r="AE47" s="236">
        <f t="shared" si="76"/>
        <v>-21.9</v>
      </c>
      <c r="AF47" s="582">
        <v>10366</v>
      </c>
      <c r="AG47" s="582">
        <v>7309</v>
      </c>
      <c r="AH47" s="236">
        <f t="shared" si="72"/>
        <v>-29.5</v>
      </c>
    </row>
    <row r="48" spans="1:34">
      <c r="A48" s="108" t="s">
        <v>234</v>
      </c>
      <c r="J48" s="261"/>
    </row>
    <row r="49" spans="1:34" ht="10.5" customHeight="1">
      <c r="J49" s="261"/>
    </row>
    <row r="50" spans="1:34">
      <c r="A50" s="77" t="s">
        <v>235</v>
      </c>
      <c r="B50" s="80"/>
      <c r="C50" s="79"/>
      <c r="G50" s="267" t="s">
        <v>236</v>
      </c>
      <c r="H50" s="625"/>
      <c r="I50" s="568"/>
      <c r="J50" s="265"/>
      <c r="K50" s="267"/>
      <c r="L50" s="267"/>
      <c r="M50" s="265"/>
      <c r="N50" s="568"/>
      <c r="O50" s="568"/>
      <c r="P50" s="265"/>
      <c r="Q50" s="267"/>
      <c r="R50" s="267"/>
      <c r="S50" s="265"/>
      <c r="T50" s="568"/>
      <c r="U50" s="568"/>
      <c r="V50" s="265"/>
      <c r="W50" s="267"/>
      <c r="X50" s="267"/>
      <c r="Y50" s="265"/>
      <c r="Z50" s="625"/>
      <c r="AA50" s="625"/>
      <c r="AB50" s="265"/>
      <c r="AC50" s="267"/>
      <c r="AD50" s="267"/>
      <c r="AE50" s="265"/>
      <c r="AF50" s="568"/>
      <c r="AG50" s="568"/>
      <c r="AH50" s="265"/>
    </row>
    <row r="51" spans="1:34">
      <c r="B51" s="26"/>
      <c r="C51" s="71"/>
      <c r="D51" s="71"/>
      <c r="E51" s="266"/>
      <c r="F51" s="266"/>
      <c r="G51" s="567"/>
      <c r="H51" s="624"/>
      <c r="I51" s="567"/>
      <c r="J51" s="262" t="s">
        <v>87</v>
      </c>
      <c r="K51" s="266"/>
      <c r="L51" s="266"/>
      <c r="M51" s="262"/>
      <c r="N51" s="567"/>
      <c r="O51" s="567"/>
      <c r="P51" s="262" t="s">
        <v>87</v>
      </c>
      <c r="Q51" s="266"/>
      <c r="R51" s="266"/>
      <c r="S51" s="262"/>
      <c r="T51" s="567"/>
      <c r="U51" s="567"/>
      <c r="V51" s="262" t="s">
        <v>87</v>
      </c>
      <c r="W51" s="266"/>
      <c r="X51" s="266"/>
      <c r="Y51" s="262"/>
      <c r="Z51" s="624"/>
      <c r="AA51" s="624"/>
      <c r="AB51" s="262" t="s">
        <v>87</v>
      </c>
      <c r="AC51" s="266"/>
      <c r="AD51" s="266"/>
      <c r="AE51" s="262"/>
      <c r="AF51" s="567"/>
      <c r="AG51" s="567"/>
      <c r="AH51" s="262" t="s">
        <v>87</v>
      </c>
    </row>
    <row r="52" spans="1:34">
      <c r="A52" s="733" t="s">
        <v>88</v>
      </c>
      <c r="B52" s="733"/>
      <c r="C52" s="855" t="s">
        <v>2</v>
      </c>
      <c r="D52" s="855" t="s">
        <v>74</v>
      </c>
      <c r="E52" s="855" t="s">
        <v>76</v>
      </c>
      <c r="F52" s="850" t="s">
        <v>294</v>
      </c>
      <c r="G52" s="850" t="s">
        <v>431</v>
      </c>
      <c r="H52" s="864" t="s">
        <v>33</v>
      </c>
      <c r="I52" s="749"/>
      <c r="J52" s="733"/>
      <c r="K52" s="837" t="s">
        <v>471</v>
      </c>
      <c r="L52" s="838"/>
      <c r="M52" s="839"/>
      <c r="N52" s="837" t="s">
        <v>472</v>
      </c>
      <c r="O52" s="838"/>
      <c r="P52" s="839"/>
      <c r="Q52" s="837" t="s">
        <v>477</v>
      </c>
      <c r="R52" s="838"/>
      <c r="S52" s="839"/>
      <c r="T52" s="837" t="s">
        <v>478</v>
      </c>
      <c r="U52" s="838"/>
      <c r="V52" s="839"/>
      <c r="W52" s="837" t="s">
        <v>484</v>
      </c>
      <c r="X52" s="838"/>
      <c r="Y52" s="839"/>
      <c r="Z52" s="837" t="s">
        <v>486</v>
      </c>
      <c r="AA52" s="838"/>
      <c r="AB52" s="839"/>
      <c r="AC52" s="837" t="s">
        <v>492</v>
      </c>
      <c r="AD52" s="838"/>
      <c r="AE52" s="839"/>
      <c r="AF52" s="837" t="s">
        <v>493</v>
      </c>
      <c r="AG52" s="838"/>
      <c r="AH52" s="839"/>
    </row>
    <row r="53" spans="1:34">
      <c r="A53" s="733"/>
      <c r="B53" s="733"/>
      <c r="C53" s="855"/>
      <c r="D53" s="855"/>
      <c r="E53" s="855"/>
      <c r="F53" s="851"/>
      <c r="G53" s="851"/>
      <c r="H53" s="698" t="s">
        <v>431</v>
      </c>
      <c r="I53" s="533" t="s">
        <v>503</v>
      </c>
      <c r="J53" s="531" t="s">
        <v>5</v>
      </c>
      <c r="K53" s="535" t="s">
        <v>431</v>
      </c>
      <c r="L53" s="533" t="s">
        <v>503</v>
      </c>
      <c r="M53" s="531" t="s">
        <v>5</v>
      </c>
      <c r="N53" s="535" t="s">
        <v>431</v>
      </c>
      <c r="O53" s="533" t="s">
        <v>503</v>
      </c>
      <c r="P53" s="531" t="s">
        <v>5</v>
      </c>
      <c r="Q53" s="535" t="s">
        <v>431</v>
      </c>
      <c r="R53" s="533" t="s">
        <v>503</v>
      </c>
      <c r="S53" s="531" t="s">
        <v>5</v>
      </c>
      <c r="T53" s="535" t="s">
        <v>431</v>
      </c>
      <c r="U53" s="533" t="s">
        <v>503</v>
      </c>
      <c r="V53" s="531" t="s">
        <v>5</v>
      </c>
      <c r="W53" s="535" t="s">
        <v>431</v>
      </c>
      <c r="X53" s="533" t="s">
        <v>503</v>
      </c>
      <c r="Y53" s="531" t="s">
        <v>5</v>
      </c>
      <c r="Z53" s="698" t="s">
        <v>431</v>
      </c>
      <c r="AA53" s="697" t="s">
        <v>503</v>
      </c>
      <c r="AB53" s="531" t="s">
        <v>5</v>
      </c>
      <c r="AC53" s="535" t="s">
        <v>431</v>
      </c>
      <c r="AD53" s="533" t="s">
        <v>503</v>
      </c>
      <c r="AE53" s="531" t="s">
        <v>5</v>
      </c>
      <c r="AF53" s="535" t="s">
        <v>431</v>
      </c>
      <c r="AG53" s="533" t="s">
        <v>503</v>
      </c>
      <c r="AH53" s="531" t="s">
        <v>5</v>
      </c>
    </row>
    <row r="54" spans="1:34">
      <c r="A54" s="7"/>
      <c r="B54" s="81" t="s">
        <v>43</v>
      </c>
      <c r="C54" s="62">
        <v>1530</v>
      </c>
      <c r="D54" s="62">
        <v>1444</v>
      </c>
      <c r="E54" s="62">
        <v>1548</v>
      </c>
      <c r="F54" s="62">
        <v>1190</v>
      </c>
      <c r="G54" s="62">
        <v>1209</v>
      </c>
      <c r="H54" s="634">
        <v>119</v>
      </c>
      <c r="I54" s="584">
        <v>126</v>
      </c>
      <c r="J54" s="433">
        <f>ROUND(((I54/H54-1)*100), 1)</f>
        <v>5.9</v>
      </c>
      <c r="K54" s="269">
        <f t="shared" ref="K54:K64" si="78">N54-H54</f>
        <v>45</v>
      </c>
      <c r="L54" s="365">
        <f t="shared" ref="L54:L64" si="79">O54-I54</f>
        <v>104</v>
      </c>
      <c r="M54" s="433">
        <f>ROUND(((L54/K54-1)*100), 1)</f>
        <v>131.1</v>
      </c>
      <c r="N54" s="584">
        <v>164</v>
      </c>
      <c r="O54" s="584">
        <v>230</v>
      </c>
      <c r="P54" s="433">
        <f>ROUND(((O54/N54-1)*100), 1)</f>
        <v>40.200000000000003</v>
      </c>
      <c r="Q54" s="269">
        <f t="shared" ref="Q54:Q59" si="80">T54-N54</f>
        <v>75</v>
      </c>
      <c r="R54" s="365">
        <f t="shared" ref="R54:R59" si="81">U54-O54</f>
        <v>82</v>
      </c>
      <c r="S54" s="433">
        <f>ROUND(((R54/Q54-1)*100), 1)</f>
        <v>9.3000000000000007</v>
      </c>
      <c r="T54" s="709">
        <v>239</v>
      </c>
      <c r="U54" s="584">
        <v>312</v>
      </c>
      <c r="V54" s="433">
        <f>ROUND(((U54/T54-1)*100), 1)</f>
        <v>30.5</v>
      </c>
      <c r="W54" s="269">
        <f t="shared" ref="W54:W61" si="82">Z54-T54</f>
        <v>168</v>
      </c>
      <c r="X54" s="365">
        <f t="shared" ref="X54:X61" si="83">AA54-U54</f>
        <v>117</v>
      </c>
      <c r="Y54" s="433">
        <f>ROUND(((X54/W54-1)*100), 1)</f>
        <v>-30.4</v>
      </c>
      <c r="Z54" s="718">
        <v>407</v>
      </c>
      <c r="AA54" s="634">
        <v>429</v>
      </c>
      <c r="AB54" s="433">
        <f>ROUND(((AA54/Z54-1)*100), 1)</f>
        <v>5.4</v>
      </c>
      <c r="AC54" s="269">
        <f t="shared" ref="AC54:AC55" si="84">AF54-Z54</f>
        <v>150</v>
      </c>
      <c r="AD54" s="365">
        <f t="shared" ref="AD54:AD55" si="85">AG54-AA54</f>
        <v>218</v>
      </c>
      <c r="AE54" s="433">
        <f>ROUND(((AD54/AC54-1)*100), 1)</f>
        <v>45.3</v>
      </c>
      <c r="AF54" s="709">
        <v>557</v>
      </c>
      <c r="AG54" s="584">
        <v>647</v>
      </c>
      <c r="AH54" s="433">
        <f>ROUND(((AG54/AF54-1)*100), 1)</f>
        <v>16.2</v>
      </c>
    </row>
    <row r="55" spans="1:34">
      <c r="A55" s="3" t="s">
        <v>114</v>
      </c>
      <c r="B55" s="39" t="s">
        <v>94</v>
      </c>
      <c r="C55" s="40">
        <v>1258</v>
      </c>
      <c r="D55" s="40">
        <v>1337</v>
      </c>
      <c r="E55" s="40">
        <v>1121</v>
      </c>
      <c r="F55" s="40">
        <v>1413</v>
      </c>
      <c r="G55" s="608">
        <v>1033</v>
      </c>
      <c r="H55" s="630">
        <v>97</v>
      </c>
      <c r="I55" s="589">
        <v>151</v>
      </c>
      <c r="J55" s="235">
        <f>ROUND(((I55/H55-1)*100), 1)</f>
        <v>55.7</v>
      </c>
      <c r="K55" s="270">
        <f t="shared" si="78"/>
        <v>114</v>
      </c>
      <c r="L55" s="366">
        <f t="shared" si="79"/>
        <v>114</v>
      </c>
      <c r="M55" s="235">
        <f>ROUND(((L55/K55-1)*100), 1)</f>
        <v>0</v>
      </c>
      <c r="N55" s="589">
        <v>211</v>
      </c>
      <c r="O55" s="589">
        <v>265</v>
      </c>
      <c r="P55" s="235">
        <f>ROUND(((O55/N55-1)*100), 1)</f>
        <v>25.6</v>
      </c>
      <c r="Q55" s="270">
        <f t="shared" si="80"/>
        <v>96</v>
      </c>
      <c r="R55" s="366">
        <f t="shared" si="81"/>
        <v>257</v>
      </c>
      <c r="S55" s="235">
        <f>ROUND(((R55/Q55-1)*100), 1)</f>
        <v>167.7</v>
      </c>
      <c r="T55" s="710">
        <v>307</v>
      </c>
      <c r="U55" s="589">
        <v>522</v>
      </c>
      <c r="V55" s="235">
        <f>ROUND(((U55/T55-1)*100), 1)</f>
        <v>70</v>
      </c>
      <c r="W55" s="270">
        <f t="shared" si="82"/>
        <v>40</v>
      </c>
      <c r="X55" s="366">
        <f t="shared" si="83"/>
        <v>181</v>
      </c>
      <c r="Y55" s="235">
        <f>ROUND(((X55/W55-1)*100), 1)</f>
        <v>352.5</v>
      </c>
      <c r="Z55" s="719">
        <v>347</v>
      </c>
      <c r="AA55" s="630">
        <v>703</v>
      </c>
      <c r="AB55" s="235">
        <f>ROUND(((AA55/Z55-1)*100), 1)</f>
        <v>102.6</v>
      </c>
      <c r="AC55" s="270">
        <f t="shared" si="84"/>
        <v>2</v>
      </c>
      <c r="AD55" s="366">
        <f t="shared" si="85"/>
        <v>161</v>
      </c>
      <c r="AE55" s="235">
        <f>ROUND(((AD55/AC55-1)*100), 1)</f>
        <v>7950</v>
      </c>
      <c r="AF55" s="710">
        <v>349</v>
      </c>
      <c r="AG55" s="589">
        <v>864</v>
      </c>
      <c r="AH55" s="235">
        <f>ROUND(((AG55/AF55-1)*100), 1)</f>
        <v>147.6</v>
      </c>
    </row>
    <row r="56" spans="1:34">
      <c r="A56" s="3"/>
      <c r="B56" s="611" t="s">
        <v>52</v>
      </c>
      <c r="C56" s="608">
        <v>585</v>
      </c>
      <c r="D56" s="608">
        <v>194</v>
      </c>
      <c r="E56" s="608">
        <v>322</v>
      </c>
      <c r="F56" s="608">
        <v>426</v>
      </c>
      <c r="G56" s="608">
        <v>991</v>
      </c>
      <c r="H56" s="630">
        <v>139</v>
      </c>
      <c r="I56" s="589">
        <v>94</v>
      </c>
      <c r="J56" s="571">
        <f>ROUND(((I56/H56-1)*100), 1)</f>
        <v>-32.4</v>
      </c>
      <c r="K56" s="578">
        <f t="shared" si="78"/>
        <v>79</v>
      </c>
      <c r="L56" s="589">
        <f t="shared" si="79"/>
        <v>70</v>
      </c>
      <c r="M56" s="571">
        <f>ROUND(((L56/K56-1)*100), 1)</f>
        <v>-11.4</v>
      </c>
      <c r="N56" s="589">
        <v>218</v>
      </c>
      <c r="O56" s="589">
        <v>164</v>
      </c>
      <c r="P56" s="571">
        <f>ROUND(((O56/N56-1)*100), 1)</f>
        <v>-24.8</v>
      </c>
      <c r="Q56" s="578">
        <f t="shared" si="80"/>
        <v>104</v>
      </c>
      <c r="R56" s="589">
        <f t="shared" si="81"/>
        <v>118</v>
      </c>
      <c r="S56" s="571">
        <f t="shared" ref="S56:S60" si="86">ROUND(((R56/Q56-1)*100), 1)</f>
        <v>13.5</v>
      </c>
      <c r="T56" s="710">
        <v>322</v>
      </c>
      <c r="U56" s="589">
        <v>282</v>
      </c>
      <c r="V56" s="571">
        <f>ROUND(((U56/T56-1)*100), 1)</f>
        <v>-12.4</v>
      </c>
      <c r="W56" s="578">
        <f t="shared" si="82"/>
        <v>119</v>
      </c>
      <c r="X56" s="589">
        <f t="shared" si="83"/>
        <v>47</v>
      </c>
      <c r="Y56" s="571">
        <f>ROUND(((X56/W56-1)*100), 1)</f>
        <v>-60.5</v>
      </c>
      <c r="Z56" s="719">
        <v>441</v>
      </c>
      <c r="AA56" s="630">
        <v>329</v>
      </c>
      <c r="AB56" s="571">
        <f>ROUND(((AA56/Z56-1)*100), 1)</f>
        <v>-25.4</v>
      </c>
      <c r="AC56" s="578">
        <f t="shared" ref="AC56:AC71" si="87">AF56-Z56</f>
        <v>81</v>
      </c>
      <c r="AD56" s="589">
        <f t="shared" ref="AD56:AD71" si="88">AG56-AA56</f>
        <v>47</v>
      </c>
      <c r="AE56" s="571">
        <f t="shared" ref="AE56:AE67" si="89">ROUND(((AD56/AC56-1)*100), 1)</f>
        <v>-42</v>
      </c>
      <c r="AF56" s="710">
        <v>522</v>
      </c>
      <c r="AG56" s="589">
        <v>376</v>
      </c>
      <c r="AH56" s="571">
        <f>ROUND(((AG56/AF56-1)*100), 1)</f>
        <v>-28</v>
      </c>
    </row>
    <row r="57" spans="1:34">
      <c r="A57" s="3"/>
      <c r="B57" s="611" t="s">
        <v>133</v>
      </c>
      <c r="C57" s="608">
        <v>186</v>
      </c>
      <c r="D57" s="608">
        <v>0</v>
      </c>
      <c r="E57" s="608">
        <v>0</v>
      </c>
      <c r="F57" s="608">
        <v>0</v>
      </c>
      <c r="G57" s="608">
        <v>584</v>
      </c>
      <c r="H57" s="630">
        <v>40</v>
      </c>
      <c r="I57" s="589">
        <v>62</v>
      </c>
      <c r="J57" s="571">
        <f t="shared" ref="J57:J67" si="90">ROUND(((I57/H57-1)*100), 1)</f>
        <v>55</v>
      </c>
      <c r="K57" s="578">
        <f t="shared" si="78"/>
        <v>0</v>
      </c>
      <c r="L57" s="589">
        <f t="shared" si="79"/>
        <v>20</v>
      </c>
      <c r="M57" s="579">
        <v>0</v>
      </c>
      <c r="N57" s="589">
        <v>40</v>
      </c>
      <c r="O57" s="589">
        <v>82</v>
      </c>
      <c r="P57" s="571">
        <f>ROUND(((O57/N57-1)*100), 1)</f>
        <v>105</v>
      </c>
      <c r="Q57" s="578">
        <f t="shared" si="80"/>
        <v>0</v>
      </c>
      <c r="R57" s="589">
        <f t="shared" si="81"/>
        <v>41</v>
      </c>
      <c r="S57" s="579">
        <v>0</v>
      </c>
      <c r="T57" s="710">
        <v>40</v>
      </c>
      <c r="U57" s="589">
        <v>123</v>
      </c>
      <c r="V57" s="571">
        <f t="shared" ref="V57:V62" si="91">ROUND(((U57/T57-1)*100), 1)</f>
        <v>207.5</v>
      </c>
      <c r="W57" s="578">
        <f t="shared" si="82"/>
        <v>37</v>
      </c>
      <c r="X57" s="589">
        <f t="shared" si="83"/>
        <v>41</v>
      </c>
      <c r="Y57" s="571">
        <f t="shared" ref="Y57:Y60" si="92">ROUND(((X57/W57-1)*100), 1)</f>
        <v>10.8</v>
      </c>
      <c r="Z57" s="719">
        <v>77</v>
      </c>
      <c r="AA57" s="630">
        <v>164</v>
      </c>
      <c r="AB57" s="579">
        <v>0</v>
      </c>
      <c r="AC57" s="578">
        <f t="shared" si="87"/>
        <v>56</v>
      </c>
      <c r="AD57" s="589">
        <f t="shared" si="88"/>
        <v>124</v>
      </c>
      <c r="AE57" s="571">
        <f t="shared" si="89"/>
        <v>121.4</v>
      </c>
      <c r="AF57" s="710">
        <v>133</v>
      </c>
      <c r="AG57" s="589">
        <v>288</v>
      </c>
      <c r="AH57" s="571">
        <f>ROUND(((AG57/AF57-1)*100), 1)</f>
        <v>116.5</v>
      </c>
    </row>
    <row r="58" spans="1:34">
      <c r="A58" s="3"/>
      <c r="B58" s="611" t="s">
        <v>49</v>
      </c>
      <c r="C58" s="608">
        <v>308</v>
      </c>
      <c r="D58" s="608">
        <v>345</v>
      </c>
      <c r="E58" s="608">
        <v>501</v>
      </c>
      <c r="F58" s="608">
        <v>336</v>
      </c>
      <c r="G58" s="608">
        <v>446</v>
      </c>
      <c r="H58" s="630">
        <v>37</v>
      </c>
      <c r="I58" s="589">
        <v>67</v>
      </c>
      <c r="J58" s="571">
        <f t="shared" si="90"/>
        <v>81.099999999999994</v>
      </c>
      <c r="K58" s="578">
        <f t="shared" si="78"/>
        <v>46</v>
      </c>
      <c r="L58" s="589">
        <f t="shared" si="79"/>
        <v>29</v>
      </c>
      <c r="M58" s="571">
        <f t="shared" ref="M58:M65" si="93">ROUND(((L58/K58-1)*100), 1)</f>
        <v>-37</v>
      </c>
      <c r="N58" s="589">
        <v>83</v>
      </c>
      <c r="O58" s="589">
        <v>96</v>
      </c>
      <c r="P58" s="571">
        <f t="shared" ref="P58:P64" si="94">ROUND(((O58/N58-1)*100), 1)</f>
        <v>15.7</v>
      </c>
      <c r="Q58" s="578">
        <f t="shared" si="80"/>
        <v>71</v>
      </c>
      <c r="R58" s="589">
        <f t="shared" si="81"/>
        <v>57</v>
      </c>
      <c r="S58" s="571">
        <f t="shared" si="86"/>
        <v>-19.7</v>
      </c>
      <c r="T58" s="710">
        <v>154</v>
      </c>
      <c r="U58" s="589">
        <v>153</v>
      </c>
      <c r="V58" s="571">
        <f t="shared" si="91"/>
        <v>-0.6</v>
      </c>
      <c r="W58" s="578">
        <f t="shared" si="82"/>
        <v>31</v>
      </c>
      <c r="X58" s="589">
        <f t="shared" si="83"/>
        <v>31</v>
      </c>
      <c r="Y58" s="571">
        <f t="shared" si="92"/>
        <v>0</v>
      </c>
      <c r="Z58" s="719">
        <v>185</v>
      </c>
      <c r="AA58" s="630">
        <v>184</v>
      </c>
      <c r="AB58" s="571">
        <f t="shared" ref="AB58:AB68" si="95">ROUND(((AA58/Z58-1)*100), 1)</f>
        <v>-0.5</v>
      </c>
      <c r="AC58" s="578">
        <f t="shared" si="87"/>
        <v>4</v>
      </c>
      <c r="AD58" s="589">
        <f t="shared" si="88"/>
        <v>55</v>
      </c>
      <c r="AE58" s="571">
        <f t="shared" si="89"/>
        <v>1275</v>
      </c>
      <c r="AF58" s="710">
        <v>189</v>
      </c>
      <c r="AG58" s="589">
        <v>239</v>
      </c>
      <c r="AH58" s="571">
        <f t="shared" ref="AH58:AH68" si="96">ROUND(((AG58/AF58-1)*100), 1)</f>
        <v>26.5</v>
      </c>
    </row>
    <row r="59" spans="1:34">
      <c r="A59" s="3"/>
      <c r="B59" s="611" t="s">
        <v>106</v>
      </c>
      <c r="C59" s="608">
        <v>3599</v>
      </c>
      <c r="D59" s="608">
        <v>701</v>
      </c>
      <c r="E59" s="608">
        <v>1351</v>
      </c>
      <c r="F59" s="608">
        <v>2026</v>
      </c>
      <c r="G59" s="608">
        <v>442</v>
      </c>
      <c r="H59" s="630">
        <v>277</v>
      </c>
      <c r="I59" s="589">
        <v>0</v>
      </c>
      <c r="J59" s="571">
        <f t="shared" si="90"/>
        <v>-100</v>
      </c>
      <c r="K59" s="578">
        <f t="shared" si="78"/>
        <v>161</v>
      </c>
      <c r="L59" s="589">
        <f t="shared" si="79"/>
        <v>0</v>
      </c>
      <c r="M59" s="571">
        <f t="shared" si="93"/>
        <v>-100</v>
      </c>
      <c r="N59" s="589">
        <v>438</v>
      </c>
      <c r="O59" s="589">
        <v>0</v>
      </c>
      <c r="P59" s="571">
        <f t="shared" si="94"/>
        <v>-100</v>
      </c>
      <c r="Q59" s="578">
        <f t="shared" si="80"/>
        <v>1</v>
      </c>
      <c r="R59" s="589">
        <f t="shared" si="81"/>
        <v>0</v>
      </c>
      <c r="S59" s="571">
        <f t="shared" si="86"/>
        <v>-100</v>
      </c>
      <c r="T59" s="710">
        <v>439</v>
      </c>
      <c r="U59" s="589">
        <v>0</v>
      </c>
      <c r="V59" s="571">
        <f t="shared" si="91"/>
        <v>-100</v>
      </c>
      <c r="W59" s="578">
        <f t="shared" si="82"/>
        <v>0</v>
      </c>
      <c r="X59" s="589">
        <f t="shared" si="83"/>
        <v>1</v>
      </c>
      <c r="Y59" s="579">
        <v>0</v>
      </c>
      <c r="Z59" s="719">
        <v>439</v>
      </c>
      <c r="AA59" s="630">
        <v>1</v>
      </c>
      <c r="AB59" s="571">
        <f t="shared" si="95"/>
        <v>-99.8</v>
      </c>
      <c r="AC59" s="578">
        <f t="shared" si="87"/>
        <v>0</v>
      </c>
      <c r="AD59" s="589">
        <f t="shared" si="88"/>
        <v>0</v>
      </c>
      <c r="AE59" s="579">
        <v>0</v>
      </c>
      <c r="AF59" s="710">
        <v>439</v>
      </c>
      <c r="AG59" s="589">
        <v>1</v>
      </c>
      <c r="AH59" s="571">
        <f t="shared" si="96"/>
        <v>-99.8</v>
      </c>
    </row>
    <row r="60" spans="1:34">
      <c r="A60" s="3"/>
      <c r="B60" s="611" t="s">
        <v>44</v>
      </c>
      <c r="C60" s="608">
        <v>827</v>
      </c>
      <c r="D60" s="608">
        <v>179</v>
      </c>
      <c r="E60" s="608">
        <v>216</v>
      </c>
      <c r="F60" s="608">
        <v>377</v>
      </c>
      <c r="G60" s="608">
        <v>439</v>
      </c>
      <c r="H60" s="630">
        <v>55</v>
      </c>
      <c r="I60" s="589">
        <v>8</v>
      </c>
      <c r="J60" s="571">
        <f t="shared" si="90"/>
        <v>-85.5</v>
      </c>
      <c r="K60" s="578">
        <f t="shared" si="78"/>
        <v>51</v>
      </c>
      <c r="L60" s="589">
        <f t="shared" si="79"/>
        <v>10</v>
      </c>
      <c r="M60" s="571">
        <f t="shared" si="93"/>
        <v>-80.400000000000006</v>
      </c>
      <c r="N60" s="589">
        <v>106</v>
      </c>
      <c r="O60" s="589">
        <v>18</v>
      </c>
      <c r="P60" s="571">
        <f t="shared" si="94"/>
        <v>-83</v>
      </c>
      <c r="Q60" s="578">
        <f t="shared" ref="Q60:Q71" si="97">T60-N60</f>
        <v>41</v>
      </c>
      <c r="R60" s="589">
        <f t="shared" ref="R60:R71" si="98">U60-O60</f>
        <v>7</v>
      </c>
      <c r="S60" s="571">
        <f t="shared" si="86"/>
        <v>-82.9</v>
      </c>
      <c r="T60" s="710">
        <v>147</v>
      </c>
      <c r="U60" s="589">
        <v>25</v>
      </c>
      <c r="V60" s="571">
        <f t="shared" si="91"/>
        <v>-83</v>
      </c>
      <c r="W60" s="578">
        <f t="shared" si="82"/>
        <v>73</v>
      </c>
      <c r="X60" s="589">
        <f t="shared" si="83"/>
        <v>45</v>
      </c>
      <c r="Y60" s="571">
        <f t="shared" si="92"/>
        <v>-38.4</v>
      </c>
      <c r="Z60" s="719">
        <v>220</v>
      </c>
      <c r="AA60" s="630">
        <v>70</v>
      </c>
      <c r="AB60" s="571">
        <f t="shared" si="95"/>
        <v>-68.2</v>
      </c>
      <c r="AC60" s="578">
        <f t="shared" si="87"/>
        <v>1</v>
      </c>
      <c r="AD60" s="589">
        <f t="shared" si="88"/>
        <v>7</v>
      </c>
      <c r="AE60" s="571">
        <f t="shared" si="89"/>
        <v>600</v>
      </c>
      <c r="AF60" s="710">
        <v>221</v>
      </c>
      <c r="AG60" s="589">
        <v>77</v>
      </c>
      <c r="AH60" s="571">
        <f t="shared" si="96"/>
        <v>-65.2</v>
      </c>
    </row>
    <row r="61" spans="1:34">
      <c r="A61" s="3"/>
      <c r="B61" s="39" t="s">
        <v>45</v>
      </c>
      <c r="C61" s="40">
        <v>248</v>
      </c>
      <c r="D61" s="40">
        <v>1065</v>
      </c>
      <c r="E61" s="40">
        <v>376</v>
      </c>
      <c r="F61" s="40">
        <v>64</v>
      </c>
      <c r="G61" s="608">
        <v>115</v>
      </c>
      <c r="H61" s="630">
        <v>0</v>
      </c>
      <c r="I61" s="589">
        <v>0</v>
      </c>
      <c r="J61" s="579">
        <v>0</v>
      </c>
      <c r="K61" s="270">
        <f t="shared" si="78"/>
        <v>19</v>
      </c>
      <c r="L61" s="366">
        <f t="shared" si="79"/>
        <v>0</v>
      </c>
      <c r="M61" s="571">
        <f t="shared" si="93"/>
        <v>-100</v>
      </c>
      <c r="N61" s="589">
        <v>19</v>
      </c>
      <c r="O61" s="589">
        <v>0</v>
      </c>
      <c r="P61" s="235">
        <f t="shared" si="94"/>
        <v>-100</v>
      </c>
      <c r="Q61" s="578">
        <f t="shared" si="97"/>
        <v>1</v>
      </c>
      <c r="R61" s="589">
        <f t="shared" si="98"/>
        <v>38</v>
      </c>
      <c r="S61" s="571">
        <f t="shared" ref="S61:S67" si="99">ROUND(((R61/Q61-1)*100), 1)</f>
        <v>3700</v>
      </c>
      <c r="T61" s="710">
        <v>20</v>
      </c>
      <c r="U61" s="589">
        <v>38</v>
      </c>
      <c r="V61" s="571">
        <f t="shared" si="91"/>
        <v>90</v>
      </c>
      <c r="W61" s="270">
        <f t="shared" si="82"/>
        <v>0</v>
      </c>
      <c r="X61" s="366">
        <f t="shared" si="83"/>
        <v>0</v>
      </c>
      <c r="Y61" s="579">
        <v>0</v>
      </c>
      <c r="Z61" s="719">
        <v>20</v>
      </c>
      <c r="AA61" s="630">
        <v>38</v>
      </c>
      <c r="AB61" s="235">
        <f t="shared" si="95"/>
        <v>90</v>
      </c>
      <c r="AC61" s="578">
        <f t="shared" si="87"/>
        <v>0</v>
      </c>
      <c r="AD61" s="589">
        <f t="shared" si="88"/>
        <v>37</v>
      </c>
      <c r="AE61" s="579">
        <v>0</v>
      </c>
      <c r="AF61" s="710">
        <v>20</v>
      </c>
      <c r="AG61" s="589">
        <v>75</v>
      </c>
      <c r="AH61" s="235">
        <f t="shared" si="96"/>
        <v>275</v>
      </c>
    </row>
    <row r="62" spans="1:34">
      <c r="A62" s="3"/>
      <c r="B62" s="39" t="s">
        <v>47</v>
      </c>
      <c r="C62" s="40">
        <v>81</v>
      </c>
      <c r="D62" s="40">
        <v>58</v>
      </c>
      <c r="E62" s="40">
        <v>71</v>
      </c>
      <c r="F62" s="40">
        <v>59</v>
      </c>
      <c r="G62" s="608">
        <v>102</v>
      </c>
      <c r="H62" s="630">
        <v>6</v>
      </c>
      <c r="I62" s="589">
        <v>13</v>
      </c>
      <c r="J62" s="571">
        <f t="shared" si="90"/>
        <v>116.7</v>
      </c>
      <c r="K62" s="270">
        <f t="shared" si="78"/>
        <v>3</v>
      </c>
      <c r="L62" s="366">
        <f t="shared" si="79"/>
        <v>6</v>
      </c>
      <c r="M62" s="571">
        <f t="shared" si="93"/>
        <v>100</v>
      </c>
      <c r="N62" s="589">
        <v>9</v>
      </c>
      <c r="O62" s="589">
        <v>19</v>
      </c>
      <c r="P62" s="235">
        <f t="shared" si="94"/>
        <v>111.1</v>
      </c>
      <c r="Q62" s="578">
        <f t="shared" si="97"/>
        <v>8</v>
      </c>
      <c r="R62" s="589">
        <f t="shared" si="98"/>
        <v>21</v>
      </c>
      <c r="S62" s="571">
        <f t="shared" si="99"/>
        <v>162.5</v>
      </c>
      <c r="T62" s="710">
        <v>17</v>
      </c>
      <c r="U62" s="589">
        <v>40</v>
      </c>
      <c r="V62" s="571">
        <f t="shared" si="91"/>
        <v>135.30000000000001</v>
      </c>
      <c r="W62" s="578">
        <f t="shared" ref="W62:W69" si="100">Z62-T62</f>
        <v>16</v>
      </c>
      <c r="X62" s="589">
        <f t="shared" ref="X62:X69" si="101">AA62-U62</f>
        <v>6</v>
      </c>
      <c r="Y62" s="571">
        <f t="shared" ref="Y62:Y68" si="102">ROUND(((X62/W62-1)*100), 1)</f>
        <v>-62.5</v>
      </c>
      <c r="Z62" s="719">
        <v>33</v>
      </c>
      <c r="AA62" s="630">
        <v>46</v>
      </c>
      <c r="AB62" s="571">
        <f t="shared" si="95"/>
        <v>39.4</v>
      </c>
      <c r="AC62" s="578">
        <f t="shared" si="87"/>
        <v>21</v>
      </c>
      <c r="AD62" s="589">
        <f t="shared" si="88"/>
        <v>13</v>
      </c>
      <c r="AE62" s="571">
        <f t="shared" si="89"/>
        <v>-38.1</v>
      </c>
      <c r="AF62" s="710">
        <v>54</v>
      </c>
      <c r="AG62" s="589">
        <v>59</v>
      </c>
      <c r="AH62" s="235">
        <f t="shared" si="96"/>
        <v>9.3000000000000007</v>
      </c>
    </row>
    <row r="63" spans="1:34">
      <c r="A63" s="3"/>
      <c r="B63" s="39" t="s">
        <v>228</v>
      </c>
      <c r="C63" s="40">
        <v>238</v>
      </c>
      <c r="D63" s="40">
        <v>176</v>
      </c>
      <c r="E63" s="40">
        <v>294</v>
      </c>
      <c r="F63" s="40">
        <v>80</v>
      </c>
      <c r="G63" s="608">
        <v>60</v>
      </c>
      <c r="H63" s="630">
        <v>0</v>
      </c>
      <c r="I63" s="589">
        <v>0</v>
      </c>
      <c r="J63" s="579">
        <v>0</v>
      </c>
      <c r="K63" s="270">
        <f t="shared" si="78"/>
        <v>20</v>
      </c>
      <c r="L63" s="366">
        <f t="shared" si="79"/>
        <v>19</v>
      </c>
      <c r="M63" s="571">
        <f t="shared" si="93"/>
        <v>-5</v>
      </c>
      <c r="N63" s="589">
        <v>20</v>
      </c>
      <c r="O63" s="589">
        <v>19</v>
      </c>
      <c r="P63" s="235">
        <f t="shared" si="94"/>
        <v>-5</v>
      </c>
      <c r="Q63" s="578">
        <f t="shared" si="97"/>
        <v>0</v>
      </c>
      <c r="R63" s="589">
        <f t="shared" si="98"/>
        <v>20</v>
      </c>
      <c r="S63" s="579">
        <v>0</v>
      </c>
      <c r="T63" s="710">
        <v>20</v>
      </c>
      <c r="U63" s="589">
        <v>39</v>
      </c>
      <c r="V63" s="235">
        <f t="shared" ref="V63:V67" si="103">ROUND(((U63/T63-1)*100), 1)</f>
        <v>95</v>
      </c>
      <c r="W63" s="578">
        <f t="shared" si="100"/>
        <v>0</v>
      </c>
      <c r="X63" s="589">
        <f t="shared" si="101"/>
        <v>0</v>
      </c>
      <c r="Y63" s="579">
        <v>0</v>
      </c>
      <c r="Z63" s="719">
        <v>20</v>
      </c>
      <c r="AA63" s="630">
        <v>39</v>
      </c>
      <c r="AB63" s="571">
        <f t="shared" si="95"/>
        <v>95</v>
      </c>
      <c r="AC63" s="578">
        <f t="shared" si="87"/>
        <v>20</v>
      </c>
      <c r="AD63" s="589">
        <f t="shared" si="88"/>
        <v>0</v>
      </c>
      <c r="AE63" s="571">
        <f t="shared" si="89"/>
        <v>-100</v>
      </c>
      <c r="AF63" s="710">
        <v>40</v>
      </c>
      <c r="AG63" s="589">
        <v>39</v>
      </c>
      <c r="AH63" s="235">
        <f t="shared" si="96"/>
        <v>-2.5</v>
      </c>
    </row>
    <row r="64" spans="1:34">
      <c r="A64" s="3"/>
      <c r="B64" s="39" t="s">
        <v>93</v>
      </c>
      <c r="C64" s="40">
        <v>46</v>
      </c>
      <c r="D64" s="40">
        <v>37</v>
      </c>
      <c r="E64" s="40">
        <v>34</v>
      </c>
      <c r="F64" s="40">
        <v>24</v>
      </c>
      <c r="G64" s="608">
        <v>45</v>
      </c>
      <c r="H64" s="630">
        <v>0</v>
      </c>
      <c r="I64" s="589">
        <v>1</v>
      </c>
      <c r="J64" s="579">
        <v>0</v>
      </c>
      <c r="K64" s="270">
        <f t="shared" si="78"/>
        <v>6</v>
      </c>
      <c r="L64" s="366">
        <f t="shared" si="79"/>
        <v>0</v>
      </c>
      <c r="M64" s="235">
        <f t="shared" si="93"/>
        <v>-100</v>
      </c>
      <c r="N64" s="589">
        <v>6</v>
      </c>
      <c r="O64" s="589">
        <v>1</v>
      </c>
      <c r="P64" s="235">
        <f t="shared" si="94"/>
        <v>-83.3</v>
      </c>
      <c r="Q64" s="578">
        <f t="shared" si="97"/>
        <v>9</v>
      </c>
      <c r="R64" s="589">
        <f t="shared" si="98"/>
        <v>6</v>
      </c>
      <c r="S64" s="571">
        <f t="shared" si="99"/>
        <v>-33.299999999999997</v>
      </c>
      <c r="T64" s="710">
        <v>15</v>
      </c>
      <c r="U64" s="589">
        <v>7</v>
      </c>
      <c r="V64" s="235">
        <f t="shared" si="103"/>
        <v>-53.3</v>
      </c>
      <c r="W64" s="578">
        <f t="shared" si="100"/>
        <v>6</v>
      </c>
      <c r="X64" s="589">
        <f t="shared" si="101"/>
        <v>10</v>
      </c>
      <c r="Y64" s="571">
        <f t="shared" si="102"/>
        <v>66.7</v>
      </c>
      <c r="Z64" s="719">
        <v>21</v>
      </c>
      <c r="AA64" s="630">
        <v>17</v>
      </c>
      <c r="AB64" s="571">
        <f t="shared" si="95"/>
        <v>-19</v>
      </c>
      <c r="AC64" s="578">
        <f t="shared" si="87"/>
        <v>5</v>
      </c>
      <c r="AD64" s="589">
        <f t="shared" si="88"/>
        <v>0</v>
      </c>
      <c r="AE64" s="571">
        <f t="shared" si="89"/>
        <v>-100</v>
      </c>
      <c r="AF64" s="710">
        <v>26</v>
      </c>
      <c r="AG64" s="589">
        <v>17</v>
      </c>
      <c r="AH64" s="571">
        <f t="shared" si="96"/>
        <v>-34.6</v>
      </c>
    </row>
    <row r="65" spans="1:34" s="605" customFormat="1">
      <c r="A65" s="675"/>
      <c r="B65" s="611" t="s">
        <v>545</v>
      </c>
      <c r="C65" s="608">
        <v>0</v>
      </c>
      <c r="D65" s="608">
        <v>1</v>
      </c>
      <c r="E65" s="608">
        <v>2</v>
      </c>
      <c r="F65" s="608">
        <v>0</v>
      </c>
      <c r="G65" s="608">
        <v>43</v>
      </c>
      <c r="H65" s="630">
        <v>0</v>
      </c>
      <c r="I65" s="589">
        <v>0</v>
      </c>
      <c r="J65" s="579">
        <v>0</v>
      </c>
      <c r="K65" s="578">
        <f t="shared" ref="K65:K66" si="104">N65-H65</f>
        <v>42</v>
      </c>
      <c r="L65" s="589">
        <f t="shared" ref="L65:L66" si="105">O65-I65</f>
        <v>0</v>
      </c>
      <c r="M65" s="571">
        <f t="shared" si="93"/>
        <v>-100</v>
      </c>
      <c r="N65" s="589">
        <v>42</v>
      </c>
      <c r="O65" s="589">
        <v>0</v>
      </c>
      <c r="P65" s="571">
        <f>ROUND(((O65/N65-1)*100), 1)</f>
        <v>-100</v>
      </c>
      <c r="Q65" s="578">
        <f t="shared" si="97"/>
        <v>0</v>
      </c>
      <c r="R65" s="589">
        <f t="shared" si="98"/>
        <v>0</v>
      </c>
      <c r="S65" s="579">
        <v>0</v>
      </c>
      <c r="T65" s="710">
        <v>42</v>
      </c>
      <c r="U65" s="589">
        <v>0</v>
      </c>
      <c r="V65" s="571">
        <f t="shared" si="103"/>
        <v>-100</v>
      </c>
      <c r="W65" s="578">
        <f t="shared" si="100"/>
        <v>0</v>
      </c>
      <c r="X65" s="589">
        <f t="shared" si="101"/>
        <v>0</v>
      </c>
      <c r="Y65" s="579">
        <v>0</v>
      </c>
      <c r="Z65" s="719">
        <v>42</v>
      </c>
      <c r="AA65" s="630">
        <v>0</v>
      </c>
      <c r="AB65" s="571">
        <f t="shared" si="95"/>
        <v>-100</v>
      </c>
      <c r="AC65" s="578">
        <f t="shared" si="87"/>
        <v>0</v>
      </c>
      <c r="AD65" s="589">
        <f t="shared" si="88"/>
        <v>0</v>
      </c>
      <c r="AE65" s="579">
        <v>0</v>
      </c>
      <c r="AF65" s="710">
        <v>42</v>
      </c>
      <c r="AG65" s="589">
        <v>0</v>
      </c>
      <c r="AH65" s="571">
        <f t="shared" si="96"/>
        <v>-100</v>
      </c>
    </row>
    <row r="66" spans="1:34" s="605" customFormat="1">
      <c r="A66" s="675"/>
      <c r="B66" s="611" t="s">
        <v>561</v>
      </c>
      <c r="C66" s="608">
        <v>0</v>
      </c>
      <c r="D66" s="608">
        <v>0</v>
      </c>
      <c r="E66" s="608">
        <v>23</v>
      </c>
      <c r="F66" s="608">
        <v>19</v>
      </c>
      <c r="G66" s="608">
        <v>40</v>
      </c>
      <c r="H66" s="630">
        <v>0</v>
      </c>
      <c r="I66" s="589">
        <v>0</v>
      </c>
      <c r="J66" s="579">
        <v>0</v>
      </c>
      <c r="K66" s="578">
        <f t="shared" si="104"/>
        <v>0</v>
      </c>
      <c r="L66" s="589">
        <f t="shared" si="105"/>
        <v>0</v>
      </c>
      <c r="M66" s="570">
        <v>0</v>
      </c>
      <c r="N66" s="589">
        <v>0</v>
      </c>
      <c r="O66" s="589">
        <v>0</v>
      </c>
      <c r="P66" s="579">
        <v>0</v>
      </c>
      <c r="Q66" s="578">
        <f t="shared" si="97"/>
        <v>0</v>
      </c>
      <c r="R66" s="589">
        <f t="shared" si="98"/>
        <v>0</v>
      </c>
      <c r="S66" s="579">
        <v>0</v>
      </c>
      <c r="T66" s="710">
        <v>0</v>
      </c>
      <c r="U66" s="589">
        <v>0</v>
      </c>
      <c r="V66" s="579">
        <v>0</v>
      </c>
      <c r="W66" s="578">
        <f t="shared" si="100"/>
        <v>40</v>
      </c>
      <c r="X66" s="589">
        <f t="shared" si="101"/>
        <v>0</v>
      </c>
      <c r="Y66" s="571">
        <f t="shared" si="102"/>
        <v>-100</v>
      </c>
      <c r="Z66" s="719">
        <v>40</v>
      </c>
      <c r="AA66" s="630">
        <v>0</v>
      </c>
      <c r="AB66" s="571">
        <f t="shared" si="95"/>
        <v>-100</v>
      </c>
      <c r="AC66" s="578">
        <f t="shared" si="87"/>
        <v>0</v>
      </c>
      <c r="AD66" s="589">
        <f t="shared" si="88"/>
        <v>0</v>
      </c>
      <c r="AE66" s="579">
        <v>0</v>
      </c>
      <c r="AF66" s="710">
        <v>40</v>
      </c>
      <c r="AG66" s="589">
        <v>0</v>
      </c>
      <c r="AH66" s="571">
        <f t="shared" si="96"/>
        <v>-100</v>
      </c>
    </row>
    <row r="67" spans="1:34">
      <c r="A67" s="3"/>
      <c r="B67" s="39" t="s">
        <v>109</v>
      </c>
      <c r="C67" s="40">
        <v>29</v>
      </c>
      <c r="D67" s="40">
        <v>20</v>
      </c>
      <c r="E67" s="40">
        <v>13</v>
      </c>
      <c r="F67" s="40">
        <v>13</v>
      </c>
      <c r="G67" s="608">
        <v>8</v>
      </c>
      <c r="H67" s="630">
        <v>3</v>
      </c>
      <c r="I67" s="589">
        <v>0</v>
      </c>
      <c r="J67" s="571">
        <f t="shared" si="90"/>
        <v>-100</v>
      </c>
      <c r="K67" s="270">
        <f t="shared" ref="K67:L71" si="106">N67-H67</f>
        <v>0</v>
      </c>
      <c r="L67" s="366">
        <f t="shared" si="106"/>
        <v>2</v>
      </c>
      <c r="M67" s="570">
        <v>0</v>
      </c>
      <c r="N67" s="589">
        <v>3</v>
      </c>
      <c r="O67" s="589">
        <v>2</v>
      </c>
      <c r="P67" s="235">
        <f>ROUND(((O67/N67-1)*100), 1)</f>
        <v>-33.299999999999997</v>
      </c>
      <c r="Q67" s="578">
        <f t="shared" si="97"/>
        <v>1</v>
      </c>
      <c r="R67" s="589">
        <f t="shared" si="98"/>
        <v>0</v>
      </c>
      <c r="S67" s="571">
        <f t="shared" si="99"/>
        <v>-100</v>
      </c>
      <c r="T67" s="710">
        <v>4</v>
      </c>
      <c r="U67" s="589">
        <v>2</v>
      </c>
      <c r="V67" s="571">
        <f t="shared" si="103"/>
        <v>-50</v>
      </c>
      <c r="W67" s="578">
        <f t="shared" si="100"/>
        <v>0</v>
      </c>
      <c r="X67" s="589">
        <f t="shared" si="101"/>
        <v>0</v>
      </c>
      <c r="Y67" s="579">
        <v>0</v>
      </c>
      <c r="Z67" s="719">
        <v>4</v>
      </c>
      <c r="AA67" s="630">
        <v>2</v>
      </c>
      <c r="AB67" s="571">
        <f t="shared" si="95"/>
        <v>-50</v>
      </c>
      <c r="AC67" s="578">
        <f t="shared" si="87"/>
        <v>3</v>
      </c>
      <c r="AD67" s="589">
        <f t="shared" si="88"/>
        <v>0</v>
      </c>
      <c r="AE67" s="571">
        <f t="shared" si="89"/>
        <v>-100</v>
      </c>
      <c r="AF67" s="710">
        <v>7</v>
      </c>
      <c r="AG67" s="589">
        <v>2</v>
      </c>
      <c r="AH67" s="571">
        <f t="shared" si="96"/>
        <v>-71.400000000000006</v>
      </c>
    </row>
    <row r="68" spans="1:34">
      <c r="A68" s="3"/>
      <c r="B68" s="611" t="s">
        <v>105</v>
      </c>
      <c r="C68" s="608">
        <v>81</v>
      </c>
      <c r="D68" s="608">
        <v>319</v>
      </c>
      <c r="E68" s="608">
        <v>495</v>
      </c>
      <c r="F68" s="608">
        <v>333</v>
      </c>
      <c r="G68" s="608">
        <v>3</v>
      </c>
      <c r="H68" s="630">
        <v>0</v>
      </c>
      <c r="I68" s="589">
        <v>0</v>
      </c>
      <c r="J68" s="579">
        <v>0</v>
      </c>
      <c r="K68" s="578">
        <f t="shared" si="106"/>
        <v>0</v>
      </c>
      <c r="L68" s="589">
        <f t="shared" si="106"/>
        <v>0</v>
      </c>
      <c r="M68" s="570">
        <v>0</v>
      </c>
      <c r="N68" s="589">
        <v>0</v>
      </c>
      <c r="O68" s="589">
        <v>0</v>
      </c>
      <c r="P68" s="579">
        <v>0</v>
      </c>
      <c r="Q68" s="578">
        <f t="shared" si="97"/>
        <v>0</v>
      </c>
      <c r="R68" s="589">
        <f t="shared" si="98"/>
        <v>0</v>
      </c>
      <c r="S68" s="579">
        <v>0</v>
      </c>
      <c r="T68" s="710">
        <v>0</v>
      </c>
      <c r="U68" s="589">
        <v>0</v>
      </c>
      <c r="V68" s="579">
        <v>0</v>
      </c>
      <c r="W68" s="578">
        <f t="shared" si="100"/>
        <v>1</v>
      </c>
      <c r="X68" s="589">
        <f t="shared" si="101"/>
        <v>0</v>
      </c>
      <c r="Y68" s="571">
        <f t="shared" si="102"/>
        <v>-100</v>
      </c>
      <c r="Z68" s="719">
        <v>1</v>
      </c>
      <c r="AA68" s="630">
        <v>0</v>
      </c>
      <c r="AB68" s="571">
        <f t="shared" si="95"/>
        <v>-100</v>
      </c>
      <c r="AC68" s="578">
        <f t="shared" si="87"/>
        <v>0</v>
      </c>
      <c r="AD68" s="589">
        <f t="shared" si="88"/>
        <v>0</v>
      </c>
      <c r="AE68" s="579">
        <v>0</v>
      </c>
      <c r="AF68" s="710">
        <v>1</v>
      </c>
      <c r="AG68" s="589">
        <v>0</v>
      </c>
      <c r="AH68" s="571">
        <f t="shared" si="96"/>
        <v>-100</v>
      </c>
    </row>
    <row r="69" spans="1:34">
      <c r="A69" s="3"/>
      <c r="B69" s="611" t="s">
        <v>200</v>
      </c>
      <c r="C69" s="608">
        <v>0</v>
      </c>
      <c r="D69" s="608">
        <v>17</v>
      </c>
      <c r="E69" s="608">
        <v>0</v>
      </c>
      <c r="F69" s="608">
        <v>2</v>
      </c>
      <c r="G69" s="608">
        <v>0</v>
      </c>
      <c r="H69" s="630">
        <v>0</v>
      </c>
      <c r="I69" s="589">
        <v>0</v>
      </c>
      <c r="J69" s="579">
        <v>0</v>
      </c>
      <c r="K69" s="578">
        <f t="shared" si="106"/>
        <v>0</v>
      </c>
      <c r="L69" s="589">
        <f t="shared" si="106"/>
        <v>0</v>
      </c>
      <c r="M69" s="570">
        <v>0</v>
      </c>
      <c r="N69" s="589">
        <v>0</v>
      </c>
      <c r="O69" s="589">
        <v>0</v>
      </c>
      <c r="P69" s="579">
        <v>0</v>
      </c>
      <c r="Q69" s="578">
        <f t="shared" si="97"/>
        <v>0</v>
      </c>
      <c r="R69" s="589">
        <f t="shared" si="98"/>
        <v>0</v>
      </c>
      <c r="S69" s="579">
        <v>0</v>
      </c>
      <c r="T69" s="710">
        <v>0</v>
      </c>
      <c r="U69" s="589">
        <v>0</v>
      </c>
      <c r="V69" s="579">
        <v>0</v>
      </c>
      <c r="W69" s="578">
        <f t="shared" si="100"/>
        <v>0</v>
      </c>
      <c r="X69" s="589">
        <f t="shared" si="101"/>
        <v>0</v>
      </c>
      <c r="Y69" s="579">
        <v>0</v>
      </c>
      <c r="Z69" s="719">
        <v>0</v>
      </c>
      <c r="AA69" s="630">
        <v>0</v>
      </c>
      <c r="AB69" s="579">
        <v>0</v>
      </c>
      <c r="AC69" s="578">
        <f t="shared" si="87"/>
        <v>0</v>
      </c>
      <c r="AD69" s="589">
        <f t="shared" si="88"/>
        <v>0</v>
      </c>
      <c r="AE69" s="579">
        <v>0</v>
      </c>
      <c r="AF69" s="710">
        <v>0</v>
      </c>
      <c r="AG69" s="589">
        <v>0</v>
      </c>
      <c r="AH69" s="579">
        <v>0</v>
      </c>
    </row>
    <row r="70" spans="1:34">
      <c r="A70" s="3"/>
      <c r="B70" s="611" t="s">
        <v>53</v>
      </c>
      <c r="C70" s="608">
        <v>41</v>
      </c>
      <c r="D70" s="608">
        <v>29</v>
      </c>
      <c r="E70" s="608">
        <v>16</v>
      </c>
      <c r="F70" s="608">
        <v>1</v>
      </c>
      <c r="G70" s="608">
        <v>0</v>
      </c>
      <c r="H70" s="630">
        <v>0</v>
      </c>
      <c r="I70" s="589">
        <v>0</v>
      </c>
      <c r="J70" s="579">
        <v>0</v>
      </c>
      <c r="K70" s="578">
        <f t="shared" si="106"/>
        <v>0</v>
      </c>
      <c r="L70" s="589">
        <f t="shared" si="106"/>
        <v>0</v>
      </c>
      <c r="M70" s="579">
        <v>0</v>
      </c>
      <c r="N70" s="589">
        <v>0</v>
      </c>
      <c r="O70" s="589">
        <v>0</v>
      </c>
      <c r="P70" s="579">
        <v>0</v>
      </c>
      <c r="Q70" s="578">
        <f t="shared" si="97"/>
        <v>0</v>
      </c>
      <c r="R70" s="589">
        <f t="shared" si="98"/>
        <v>4</v>
      </c>
      <c r="S70" s="579">
        <v>0</v>
      </c>
      <c r="T70" s="710">
        <v>0</v>
      </c>
      <c r="U70" s="589">
        <v>4</v>
      </c>
      <c r="V70" s="579">
        <v>0</v>
      </c>
      <c r="W70" s="578">
        <f t="shared" ref="W70:X71" si="107">Z70-T70</f>
        <v>0</v>
      </c>
      <c r="X70" s="589">
        <f t="shared" si="107"/>
        <v>0</v>
      </c>
      <c r="Y70" s="579">
        <v>0</v>
      </c>
      <c r="Z70" s="719">
        <v>0</v>
      </c>
      <c r="AA70" s="630">
        <v>4</v>
      </c>
      <c r="AB70" s="579">
        <v>0</v>
      </c>
      <c r="AC70" s="578">
        <f t="shared" si="87"/>
        <v>0</v>
      </c>
      <c r="AD70" s="589">
        <f t="shared" si="88"/>
        <v>0</v>
      </c>
      <c r="AE70" s="579">
        <v>0</v>
      </c>
      <c r="AF70" s="710">
        <v>0</v>
      </c>
      <c r="AG70" s="589">
        <v>4</v>
      </c>
      <c r="AH70" s="579">
        <v>0</v>
      </c>
    </row>
    <row r="71" spans="1:34">
      <c r="A71" s="3"/>
      <c r="B71" s="39" t="s">
        <v>119</v>
      </c>
      <c r="C71" s="40">
        <v>39</v>
      </c>
      <c r="D71" s="40">
        <v>0</v>
      </c>
      <c r="E71" s="40">
        <v>0</v>
      </c>
      <c r="F71" s="40">
        <v>0</v>
      </c>
      <c r="G71" s="608">
        <v>0</v>
      </c>
      <c r="H71" s="630">
        <v>0</v>
      </c>
      <c r="I71" s="589">
        <v>0</v>
      </c>
      <c r="J71" s="171">
        <v>0</v>
      </c>
      <c r="K71" s="270">
        <f t="shared" si="106"/>
        <v>0</v>
      </c>
      <c r="L71" s="366">
        <f t="shared" si="106"/>
        <v>0</v>
      </c>
      <c r="M71" s="171">
        <v>0</v>
      </c>
      <c r="N71" s="589">
        <v>0</v>
      </c>
      <c r="O71" s="589">
        <v>0</v>
      </c>
      <c r="P71" s="171">
        <v>0</v>
      </c>
      <c r="Q71" s="578">
        <f t="shared" si="97"/>
        <v>0</v>
      </c>
      <c r="R71" s="589">
        <f t="shared" si="98"/>
        <v>0</v>
      </c>
      <c r="S71" s="579">
        <v>0</v>
      </c>
      <c r="T71" s="710">
        <v>0</v>
      </c>
      <c r="U71" s="589">
        <v>0</v>
      </c>
      <c r="V71" s="171">
        <v>0</v>
      </c>
      <c r="W71" s="270">
        <f t="shared" si="107"/>
        <v>0</v>
      </c>
      <c r="X71" s="366">
        <f t="shared" si="107"/>
        <v>0</v>
      </c>
      <c r="Y71" s="462">
        <v>0</v>
      </c>
      <c r="Z71" s="719">
        <v>0</v>
      </c>
      <c r="AA71" s="630">
        <v>0</v>
      </c>
      <c r="AB71" s="462">
        <v>0</v>
      </c>
      <c r="AC71" s="578">
        <f t="shared" si="87"/>
        <v>0</v>
      </c>
      <c r="AD71" s="589">
        <f t="shared" si="88"/>
        <v>0</v>
      </c>
      <c r="AE71" s="579">
        <v>0</v>
      </c>
      <c r="AF71" s="710">
        <v>0</v>
      </c>
      <c r="AG71" s="589">
        <v>0</v>
      </c>
      <c r="AH71" s="462">
        <v>0</v>
      </c>
    </row>
    <row r="72" spans="1:34">
      <c r="A72" s="3"/>
      <c r="B72" s="39" t="s">
        <v>18</v>
      </c>
      <c r="C72" s="40">
        <f t="shared" ref="C72:I72" si="108">C73-SUM(C54:C71)</f>
        <v>34</v>
      </c>
      <c r="D72" s="40">
        <f t="shared" si="108"/>
        <v>24</v>
      </c>
      <c r="E72" s="40">
        <f t="shared" si="108"/>
        <v>50</v>
      </c>
      <c r="F72" s="40">
        <f t="shared" si="108"/>
        <v>34</v>
      </c>
      <c r="G72" s="608">
        <f t="shared" si="108"/>
        <v>31</v>
      </c>
      <c r="H72" s="630">
        <f t="shared" si="108"/>
        <v>0</v>
      </c>
      <c r="I72" s="589">
        <f t="shared" si="108"/>
        <v>0</v>
      </c>
      <c r="J72" s="580">
        <v>0</v>
      </c>
      <c r="K72" s="359">
        <f>K73-SUM(K54:K71)</f>
        <v>2</v>
      </c>
      <c r="L72" s="366">
        <f>L73-SUM(L54:L71)</f>
        <v>3</v>
      </c>
      <c r="M72" s="235">
        <f t="shared" ref="M72:M73" si="109">ROUND(((L72/K72-1)*100), 1)</f>
        <v>50</v>
      </c>
      <c r="N72" s="589">
        <f>N73-SUM(N54:N71)</f>
        <v>2</v>
      </c>
      <c r="O72" s="589">
        <f>O73-SUM(O54:O71)</f>
        <v>3</v>
      </c>
      <c r="P72" s="235">
        <f t="shared" ref="P72:P73" si="110">ROUND(((O72/N72-1)*100), 1)</f>
        <v>50</v>
      </c>
      <c r="Q72" s="359">
        <f>Q73-SUM(Q54:Q71)</f>
        <v>3</v>
      </c>
      <c r="R72" s="366">
        <f>R73-SUM(R54:R71)</f>
        <v>2</v>
      </c>
      <c r="S72" s="235">
        <f t="shared" ref="S72:S73" si="111">ROUND(((R72/Q72-1)*100), 1)</f>
        <v>-33.299999999999997</v>
      </c>
      <c r="T72" s="589">
        <f>T73-SUM(T54:T71)</f>
        <v>5</v>
      </c>
      <c r="U72" s="589">
        <f>U73-SUM(U54:U71)</f>
        <v>5</v>
      </c>
      <c r="V72" s="235">
        <f t="shared" ref="V72:V73" si="112">ROUND(((U72/T72-1)*100), 1)</f>
        <v>0</v>
      </c>
      <c r="W72" s="468">
        <f>W73-SUM(W54:W71)</f>
        <v>2</v>
      </c>
      <c r="X72" s="366">
        <f>X73-SUM(X54:X71)</f>
        <v>0</v>
      </c>
      <c r="Y72" s="235">
        <f t="shared" ref="Y72:Y73" si="113">ROUND(((X72/W72-1)*100), 1)</f>
        <v>-100</v>
      </c>
      <c r="Z72" s="630">
        <f>Z73-SUM(Z54:Z71)</f>
        <v>7</v>
      </c>
      <c r="AA72" s="630">
        <f>AA73-SUM(AA54:AA71)</f>
        <v>5</v>
      </c>
      <c r="AB72" s="235">
        <f t="shared" ref="AB72:AB73" si="114">ROUND(((AA72/Z72-1)*100), 1)</f>
        <v>-28.6</v>
      </c>
      <c r="AC72" s="468">
        <f>AC73-SUM(AC54:AC71)</f>
        <v>2</v>
      </c>
      <c r="AD72" s="366">
        <f>AD73-SUM(AD54:AD71)</f>
        <v>3</v>
      </c>
      <c r="AE72" s="235">
        <f t="shared" ref="AE72:AE73" si="115">ROUND(((AD72/AC72-1)*100), 1)</f>
        <v>50</v>
      </c>
      <c r="AF72" s="589">
        <f>AF73-SUM(AF54:AF71)</f>
        <v>9</v>
      </c>
      <c r="AG72" s="589">
        <f>AG73-SUM(AG54:AG71)</f>
        <v>8</v>
      </c>
      <c r="AH72" s="235">
        <f t="shared" ref="AH72:AH73" si="116">ROUND(((AG72/AF72-1)*100), 1)</f>
        <v>-11.1</v>
      </c>
    </row>
    <row r="73" spans="1:34">
      <c r="A73" s="8"/>
      <c r="B73" s="63" t="s">
        <v>101</v>
      </c>
      <c r="C73" s="42">
        <v>9130</v>
      </c>
      <c r="D73" s="42">
        <v>5946</v>
      </c>
      <c r="E73" s="42">
        <v>6433</v>
      </c>
      <c r="F73" s="42">
        <v>6397</v>
      </c>
      <c r="G73" s="609">
        <v>5591</v>
      </c>
      <c r="H73" s="632">
        <v>773</v>
      </c>
      <c r="I73" s="582">
        <v>522</v>
      </c>
      <c r="J73" s="236">
        <f t="shared" ref="J73" si="117">ROUND(((I73/H73-1)*100), 1)</f>
        <v>-32.5</v>
      </c>
      <c r="K73" s="268">
        <f t="shared" ref="K73" si="118">N73-H73</f>
        <v>588</v>
      </c>
      <c r="L73" s="280">
        <f t="shared" ref="L73" si="119">O73-I73</f>
        <v>377</v>
      </c>
      <c r="M73" s="236">
        <f t="shared" si="109"/>
        <v>-35.9</v>
      </c>
      <c r="N73" s="582">
        <v>1361</v>
      </c>
      <c r="O73" s="582">
        <v>899</v>
      </c>
      <c r="P73" s="236">
        <f t="shared" si="110"/>
        <v>-33.9</v>
      </c>
      <c r="Q73" s="268">
        <f t="shared" ref="Q73" si="120">T73-N73</f>
        <v>410</v>
      </c>
      <c r="R73" s="280">
        <f t="shared" ref="R73" si="121">U73-O73</f>
        <v>653</v>
      </c>
      <c r="S73" s="236">
        <f t="shared" si="111"/>
        <v>59.3</v>
      </c>
      <c r="T73" s="582">
        <v>1771</v>
      </c>
      <c r="U73" s="582">
        <v>1552</v>
      </c>
      <c r="V73" s="236">
        <f t="shared" si="112"/>
        <v>-12.4</v>
      </c>
      <c r="W73" s="268">
        <f t="shared" ref="W73" si="122">Z73-T73</f>
        <v>533</v>
      </c>
      <c r="X73" s="280">
        <f t="shared" ref="X73" si="123">AA73-U73</f>
        <v>479</v>
      </c>
      <c r="Y73" s="236">
        <f t="shared" si="113"/>
        <v>-10.1</v>
      </c>
      <c r="Z73" s="632">
        <v>2304</v>
      </c>
      <c r="AA73" s="632">
        <v>2031</v>
      </c>
      <c r="AB73" s="236">
        <f t="shared" si="114"/>
        <v>-11.8</v>
      </c>
      <c r="AC73" s="268">
        <f t="shared" ref="AC73:AD73" si="124">AF73-Z73</f>
        <v>345</v>
      </c>
      <c r="AD73" s="280">
        <f t="shared" si="124"/>
        <v>665</v>
      </c>
      <c r="AE73" s="236">
        <f t="shared" si="115"/>
        <v>92.8</v>
      </c>
      <c r="AF73" s="582">
        <v>2649</v>
      </c>
      <c r="AG73" s="582">
        <v>2696</v>
      </c>
      <c r="AH73" s="236">
        <f t="shared" si="116"/>
        <v>1.8</v>
      </c>
    </row>
    <row r="74" spans="1:34">
      <c r="A74" s="3"/>
      <c r="B74" s="610" t="s">
        <v>449</v>
      </c>
      <c r="C74" s="324">
        <v>0</v>
      </c>
      <c r="D74" s="324">
        <v>0</v>
      </c>
      <c r="E74" s="324">
        <v>0</v>
      </c>
      <c r="F74" s="324">
        <v>672</v>
      </c>
      <c r="G74" s="608">
        <v>4304</v>
      </c>
      <c r="H74" s="635">
        <v>368</v>
      </c>
      <c r="I74" s="573">
        <v>363</v>
      </c>
      <c r="J74" s="579">
        <v>0</v>
      </c>
      <c r="K74" s="577">
        <f t="shared" ref="K74:K87" si="125">N74-H74</f>
        <v>327</v>
      </c>
      <c r="L74" s="573">
        <f t="shared" ref="L74:L87" si="126">O74-I74</f>
        <v>362</v>
      </c>
      <c r="M74" s="571">
        <f t="shared" ref="M74:M83" si="127">ROUND(((L74/K74-1)*100), 1)</f>
        <v>10.7</v>
      </c>
      <c r="N74" s="589">
        <v>695</v>
      </c>
      <c r="O74" s="573">
        <v>725</v>
      </c>
      <c r="P74" s="571">
        <f t="shared" ref="P74:P84" si="128">ROUND(((O74/N74-1)*100), 1)</f>
        <v>4.3</v>
      </c>
      <c r="Q74" s="577">
        <f t="shared" ref="Q74:Q77" si="129">T74-N74</f>
        <v>385</v>
      </c>
      <c r="R74" s="573">
        <f t="shared" ref="R74:R77" si="130">U74-O74</f>
        <v>134</v>
      </c>
      <c r="S74" s="571">
        <f>ROUND(((R74/Q74-1)*100), 1)</f>
        <v>-65.2</v>
      </c>
      <c r="T74" s="589">
        <v>1080</v>
      </c>
      <c r="U74" s="573">
        <v>859</v>
      </c>
      <c r="V74" s="571">
        <f t="shared" ref="V74:V88" si="131">ROUND(((U74/T74-1)*100), 1)</f>
        <v>-20.5</v>
      </c>
      <c r="W74" s="577">
        <f t="shared" ref="W74:W83" si="132">Z74-T74</f>
        <v>194</v>
      </c>
      <c r="X74" s="573">
        <f t="shared" ref="X74:X83" si="133">AA74-U74</f>
        <v>662</v>
      </c>
      <c r="Y74" s="571">
        <f>ROUND(((X74/W74-1)*100), 1)</f>
        <v>241.2</v>
      </c>
      <c r="Z74" s="630">
        <v>1274</v>
      </c>
      <c r="AA74" s="635">
        <v>1521</v>
      </c>
      <c r="AB74" s="571">
        <f t="shared" ref="AB74:AB88" si="134">ROUND(((AA74/Z74-1)*100), 1)</f>
        <v>19.399999999999999</v>
      </c>
      <c r="AC74" s="577">
        <f t="shared" ref="AC74:AC78" si="135">AF74-Z74</f>
        <v>289</v>
      </c>
      <c r="AD74" s="573">
        <f t="shared" ref="AD74:AD78" si="136">AG74-AA74</f>
        <v>207</v>
      </c>
      <c r="AE74" s="571">
        <f t="shared" ref="AE74:AE78" si="137">ROUND(((AD74/AC74-1)*100), 1)</f>
        <v>-28.4</v>
      </c>
      <c r="AF74" s="589">
        <v>1563</v>
      </c>
      <c r="AG74" s="573">
        <v>1728</v>
      </c>
      <c r="AH74" s="571">
        <f t="shared" ref="AH74:AH89" si="138">ROUND(((AG74/AF74-1)*100), 1)</f>
        <v>10.6</v>
      </c>
    </row>
    <row r="75" spans="1:34">
      <c r="A75" s="3" t="s">
        <v>103</v>
      </c>
      <c r="B75" s="39" t="s">
        <v>43</v>
      </c>
      <c r="C75" s="40">
        <v>1733</v>
      </c>
      <c r="D75" s="40">
        <v>2457</v>
      </c>
      <c r="E75" s="40">
        <v>2280</v>
      </c>
      <c r="F75" s="40">
        <v>2423</v>
      </c>
      <c r="G75" s="608">
        <v>2226</v>
      </c>
      <c r="H75" s="635">
        <v>217</v>
      </c>
      <c r="I75" s="573">
        <v>216</v>
      </c>
      <c r="J75" s="235">
        <f t="shared" ref="J75:J88" si="139">ROUND(((I75/H75-1)*100), 1)</f>
        <v>-0.5</v>
      </c>
      <c r="K75" s="270">
        <f t="shared" si="125"/>
        <v>81</v>
      </c>
      <c r="L75" s="366">
        <f t="shared" si="126"/>
        <v>150</v>
      </c>
      <c r="M75" s="235">
        <f t="shared" si="127"/>
        <v>85.2</v>
      </c>
      <c r="N75" s="589">
        <v>298</v>
      </c>
      <c r="O75" s="573">
        <v>366</v>
      </c>
      <c r="P75" s="235">
        <f t="shared" si="128"/>
        <v>22.8</v>
      </c>
      <c r="Q75" s="270">
        <f t="shared" si="129"/>
        <v>242</v>
      </c>
      <c r="R75" s="366">
        <f t="shared" si="130"/>
        <v>231</v>
      </c>
      <c r="S75" s="235">
        <f>ROUND(((R75/Q75-1)*100), 1)</f>
        <v>-4.5</v>
      </c>
      <c r="T75" s="589">
        <v>540</v>
      </c>
      <c r="U75" s="573">
        <v>597</v>
      </c>
      <c r="V75" s="235">
        <f t="shared" si="131"/>
        <v>10.6</v>
      </c>
      <c r="W75" s="270">
        <f t="shared" si="132"/>
        <v>213</v>
      </c>
      <c r="X75" s="366">
        <f t="shared" si="133"/>
        <v>324</v>
      </c>
      <c r="Y75" s="235">
        <f>ROUND(((X75/W75-1)*100), 1)</f>
        <v>52.1</v>
      </c>
      <c r="Z75" s="630">
        <v>753</v>
      </c>
      <c r="AA75" s="635">
        <v>921</v>
      </c>
      <c r="AB75" s="571">
        <f t="shared" si="134"/>
        <v>22.3</v>
      </c>
      <c r="AC75" s="270">
        <f t="shared" si="135"/>
        <v>145</v>
      </c>
      <c r="AD75" s="366">
        <f t="shared" si="136"/>
        <v>173</v>
      </c>
      <c r="AE75" s="235">
        <f t="shared" si="137"/>
        <v>19.3</v>
      </c>
      <c r="AF75" s="589">
        <v>898</v>
      </c>
      <c r="AG75" s="573">
        <v>1094</v>
      </c>
      <c r="AH75" s="235">
        <f t="shared" si="138"/>
        <v>21.8</v>
      </c>
    </row>
    <row r="76" spans="1:34">
      <c r="A76" s="3"/>
      <c r="B76" s="39" t="s">
        <v>49</v>
      </c>
      <c r="C76" s="40">
        <v>276</v>
      </c>
      <c r="D76" s="40">
        <v>1606</v>
      </c>
      <c r="E76" s="40">
        <v>552</v>
      </c>
      <c r="F76" s="40">
        <v>2082</v>
      </c>
      <c r="G76" s="608">
        <v>1489</v>
      </c>
      <c r="H76" s="635">
        <v>257</v>
      </c>
      <c r="I76" s="573">
        <v>85</v>
      </c>
      <c r="J76" s="235">
        <f t="shared" si="139"/>
        <v>-66.900000000000006</v>
      </c>
      <c r="K76" s="270">
        <f t="shared" si="125"/>
        <v>10</v>
      </c>
      <c r="L76" s="366">
        <f t="shared" si="126"/>
        <v>60</v>
      </c>
      <c r="M76" s="571">
        <f t="shared" si="127"/>
        <v>500</v>
      </c>
      <c r="N76" s="589">
        <v>267</v>
      </c>
      <c r="O76" s="573">
        <v>145</v>
      </c>
      <c r="P76" s="235">
        <f t="shared" si="128"/>
        <v>-45.7</v>
      </c>
      <c r="Q76" s="270">
        <f t="shared" si="129"/>
        <v>187</v>
      </c>
      <c r="R76" s="366">
        <f t="shared" si="130"/>
        <v>81</v>
      </c>
      <c r="S76" s="571">
        <f>ROUND(((R76/Q76-1)*100), 1)</f>
        <v>-56.7</v>
      </c>
      <c r="T76" s="589">
        <v>454</v>
      </c>
      <c r="U76" s="573">
        <v>226</v>
      </c>
      <c r="V76" s="235">
        <f t="shared" si="131"/>
        <v>-50.2</v>
      </c>
      <c r="W76" s="270">
        <f t="shared" si="132"/>
        <v>101</v>
      </c>
      <c r="X76" s="366">
        <f t="shared" si="133"/>
        <v>86</v>
      </c>
      <c r="Y76" s="571">
        <f>ROUND(((X76/W76-1)*100), 1)</f>
        <v>-14.9</v>
      </c>
      <c r="Z76" s="630">
        <v>555</v>
      </c>
      <c r="AA76" s="635">
        <v>312</v>
      </c>
      <c r="AB76" s="571">
        <f t="shared" si="134"/>
        <v>-43.8</v>
      </c>
      <c r="AC76" s="270">
        <f t="shared" si="135"/>
        <v>97</v>
      </c>
      <c r="AD76" s="366">
        <f t="shared" si="136"/>
        <v>101</v>
      </c>
      <c r="AE76" s="235">
        <f t="shared" si="137"/>
        <v>4.0999999999999996</v>
      </c>
      <c r="AF76" s="589">
        <v>652</v>
      </c>
      <c r="AG76" s="573">
        <v>413</v>
      </c>
      <c r="AH76" s="235">
        <f t="shared" si="138"/>
        <v>-36.700000000000003</v>
      </c>
    </row>
    <row r="77" spans="1:34">
      <c r="A77" s="3"/>
      <c r="B77" s="39" t="s">
        <v>47</v>
      </c>
      <c r="C77" s="40">
        <v>1113</v>
      </c>
      <c r="D77" s="40">
        <v>1214</v>
      </c>
      <c r="E77" s="40">
        <v>1195</v>
      </c>
      <c r="F77" s="40">
        <v>1194</v>
      </c>
      <c r="G77" s="608">
        <v>1334</v>
      </c>
      <c r="H77" s="635">
        <v>78</v>
      </c>
      <c r="I77" s="573">
        <v>115</v>
      </c>
      <c r="J77" s="235">
        <f t="shared" si="139"/>
        <v>47.4</v>
      </c>
      <c r="K77" s="270">
        <f t="shared" si="125"/>
        <v>95</v>
      </c>
      <c r="L77" s="366">
        <f t="shared" si="126"/>
        <v>168</v>
      </c>
      <c r="M77" s="235">
        <f t="shared" si="127"/>
        <v>76.8</v>
      </c>
      <c r="N77" s="589">
        <v>173</v>
      </c>
      <c r="O77" s="573">
        <v>283</v>
      </c>
      <c r="P77" s="235">
        <f t="shared" si="128"/>
        <v>63.6</v>
      </c>
      <c r="Q77" s="270">
        <f t="shared" si="129"/>
        <v>98</v>
      </c>
      <c r="R77" s="366">
        <f t="shared" si="130"/>
        <v>176</v>
      </c>
      <c r="S77" s="235">
        <f>ROUND(((R77/Q77-1)*100), 1)</f>
        <v>79.599999999999994</v>
      </c>
      <c r="T77" s="589">
        <v>271</v>
      </c>
      <c r="U77" s="573">
        <v>459</v>
      </c>
      <c r="V77" s="235">
        <f t="shared" si="131"/>
        <v>69.400000000000006</v>
      </c>
      <c r="W77" s="270">
        <f t="shared" si="132"/>
        <v>119</v>
      </c>
      <c r="X77" s="366">
        <f t="shared" si="133"/>
        <v>185</v>
      </c>
      <c r="Y77" s="235">
        <f>ROUND(((X77/W77-1)*100), 1)</f>
        <v>55.5</v>
      </c>
      <c r="Z77" s="630">
        <v>390</v>
      </c>
      <c r="AA77" s="635">
        <v>644</v>
      </c>
      <c r="AB77" s="235">
        <f t="shared" si="134"/>
        <v>65.099999999999994</v>
      </c>
      <c r="AC77" s="270">
        <f t="shared" si="135"/>
        <v>70</v>
      </c>
      <c r="AD77" s="366">
        <f t="shared" si="136"/>
        <v>79</v>
      </c>
      <c r="AE77" s="235">
        <f t="shared" si="137"/>
        <v>12.9</v>
      </c>
      <c r="AF77" s="589">
        <v>460</v>
      </c>
      <c r="AG77" s="573">
        <v>723</v>
      </c>
      <c r="AH77" s="235">
        <f t="shared" si="138"/>
        <v>57.2</v>
      </c>
    </row>
    <row r="78" spans="1:34">
      <c r="A78" s="3"/>
      <c r="B78" s="39" t="s">
        <v>45</v>
      </c>
      <c r="C78" s="40">
        <v>124</v>
      </c>
      <c r="D78" s="40">
        <v>2619</v>
      </c>
      <c r="E78" s="40">
        <v>1186</v>
      </c>
      <c r="F78" s="40">
        <v>1597</v>
      </c>
      <c r="G78" s="608">
        <v>1194</v>
      </c>
      <c r="H78" s="635">
        <v>0</v>
      </c>
      <c r="I78" s="573">
        <v>309</v>
      </c>
      <c r="J78" s="579">
        <v>0</v>
      </c>
      <c r="K78" s="270">
        <f t="shared" si="125"/>
        <v>295</v>
      </c>
      <c r="L78" s="366">
        <f t="shared" si="126"/>
        <v>0</v>
      </c>
      <c r="M78" s="571">
        <f t="shared" si="127"/>
        <v>-100</v>
      </c>
      <c r="N78" s="589">
        <v>295</v>
      </c>
      <c r="O78" s="573">
        <v>309</v>
      </c>
      <c r="P78" s="235">
        <f t="shared" si="128"/>
        <v>4.7</v>
      </c>
      <c r="Q78" s="578">
        <f t="shared" ref="Q78:Q90" si="140">T78-N78</f>
        <v>354</v>
      </c>
      <c r="R78" s="589">
        <f t="shared" ref="R78:R90" si="141">U78-O78</f>
        <v>330</v>
      </c>
      <c r="S78" s="571">
        <f t="shared" ref="S78:S87" si="142">ROUND(((R78/Q78-1)*100), 1)</f>
        <v>-6.8</v>
      </c>
      <c r="T78" s="589">
        <v>649</v>
      </c>
      <c r="U78" s="573">
        <v>639</v>
      </c>
      <c r="V78" s="235">
        <f t="shared" si="131"/>
        <v>-1.5</v>
      </c>
      <c r="W78" s="270">
        <f t="shared" si="132"/>
        <v>102</v>
      </c>
      <c r="X78" s="366">
        <f t="shared" si="133"/>
        <v>100</v>
      </c>
      <c r="Y78" s="570">
        <v>0</v>
      </c>
      <c r="Z78" s="630">
        <v>751</v>
      </c>
      <c r="AA78" s="635">
        <v>739</v>
      </c>
      <c r="AB78" s="235">
        <f t="shared" si="134"/>
        <v>-1.6</v>
      </c>
      <c r="AC78" s="270">
        <f t="shared" si="135"/>
        <v>100</v>
      </c>
      <c r="AD78" s="366">
        <f t="shared" si="136"/>
        <v>0</v>
      </c>
      <c r="AE78" s="235">
        <f t="shared" si="137"/>
        <v>-100</v>
      </c>
      <c r="AF78" s="589">
        <v>851</v>
      </c>
      <c r="AG78" s="573">
        <v>739</v>
      </c>
      <c r="AH78" s="235">
        <f t="shared" si="138"/>
        <v>-13.2</v>
      </c>
    </row>
    <row r="79" spans="1:34" s="167" customFormat="1">
      <c r="A79" s="309"/>
      <c r="B79" s="611" t="s">
        <v>64</v>
      </c>
      <c r="C79" s="608">
        <v>419</v>
      </c>
      <c r="D79" s="608">
        <v>451</v>
      </c>
      <c r="E79" s="608">
        <v>577</v>
      </c>
      <c r="F79" s="608">
        <v>654</v>
      </c>
      <c r="G79" s="608">
        <v>650</v>
      </c>
      <c r="H79" s="635">
        <v>25</v>
      </c>
      <c r="I79" s="573">
        <v>39</v>
      </c>
      <c r="J79" s="571">
        <f t="shared" si="139"/>
        <v>56</v>
      </c>
      <c r="K79" s="578">
        <f t="shared" si="125"/>
        <v>20</v>
      </c>
      <c r="L79" s="589">
        <f t="shared" si="126"/>
        <v>20</v>
      </c>
      <c r="M79" s="571">
        <f t="shared" si="127"/>
        <v>0</v>
      </c>
      <c r="N79" s="589">
        <v>45</v>
      </c>
      <c r="O79" s="573">
        <v>59</v>
      </c>
      <c r="P79" s="571">
        <f t="shared" si="128"/>
        <v>31.1</v>
      </c>
      <c r="Q79" s="578">
        <f t="shared" si="140"/>
        <v>48</v>
      </c>
      <c r="R79" s="589">
        <f t="shared" si="141"/>
        <v>20</v>
      </c>
      <c r="S79" s="571">
        <f t="shared" si="142"/>
        <v>-58.3</v>
      </c>
      <c r="T79" s="589">
        <v>93</v>
      </c>
      <c r="U79" s="573">
        <v>79</v>
      </c>
      <c r="V79" s="571">
        <f t="shared" si="131"/>
        <v>-15.1</v>
      </c>
      <c r="W79" s="578">
        <f t="shared" si="132"/>
        <v>40</v>
      </c>
      <c r="X79" s="589">
        <f t="shared" si="133"/>
        <v>59</v>
      </c>
      <c r="Y79" s="571">
        <f>ROUND(((X79/W79-1)*100), 1)</f>
        <v>47.5</v>
      </c>
      <c r="Z79" s="630">
        <v>133</v>
      </c>
      <c r="AA79" s="635">
        <v>138</v>
      </c>
      <c r="AB79" s="571">
        <f t="shared" si="134"/>
        <v>3.8</v>
      </c>
      <c r="AC79" s="578">
        <f t="shared" ref="AC79:AC91" si="143">AF79-Z79</f>
        <v>60</v>
      </c>
      <c r="AD79" s="589">
        <f t="shared" ref="AD79:AD91" si="144">AG79-AA79</f>
        <v>38</v>
      </c>
      <c r="AE79" s="571">
        <f t="shared" ref="AE79:AE89" si="145">ROUND(((AD79/AC79-1)*100), 1)</f>
        <v>-36.700000000000003</v>
      </c>
      <c r="AF79" s="589">
        <v>193</v>
      </c>
      <c r="AG79" s="573">
        <v>176</v>
      </c>
      <c r="AH79" s="571">
        <f t="shared" si="138"/>
        <v>-8.8000000000000007</v>
      </c>
    </row>
    <row r="80" spans="1:34">
      <c r="A80" s="3"/>
      <c r="B80" s="39" t="s">
        <v>44</v>
      </c>
      <c r="C80" s="40">
        <v>842</v>
      </c>
      <c r="D80" s="40">
        <v>1986</v>
      </c>
      <c r="E80" s="40">
        <v>3704</v>
      </c>
      <c r="F80" s="40">
        <v>941</v>
      </c>
      <c r="G80" s="608">
        <v>291</v>
      </c>
      <c r="H80" s="635">
        <v>20</v>
      </c>
      <c r="I80" s="573">
        <v>39</v>
      </c>
      <c r="J80" s="235">
        <f t="shared" si="139"/>
        <v>95</v>
      </c>
      <c r="K80" s="270">
        <f t="shared" si="125"/>
        <v>38</v>
      </c>
      <c r="L80" s="366">
        <f t="shared" si="126"/>
        <v>39</v>
      </c>
      <c r="M80" s="571">
        <f t="shared" si="127"/>
        <v>2.6</v>
      </c>
      <c r="N80" s="589">
        <v>58</v>
      </c>
      <c r="O80" s="573">
        <v>78</v>
      </c>
      <c r="P80" s="235">
        <f t="shared" si="128"/>
        <v>34.5</v>
      </c>
      <c r="Q80" s="578">
        <f t="shared" si="140"/>
        <v>20</v>
      </c>
      <c r="R80" s="589">
        <f t="shared" si="141"/>
        <v>39</v>
      </c>
      <c r="S80" s="571">
        <f t="shared" si="142"/>
        <v>95</v>
      </c>
      <c r="T80" s="589">
        <v>78</v>
      </c>
      <c r="U80" s="573">
        <v>117</v>
      </c>
      <c r="V80" s="235">
        <f t="shared" si="131"/>
        <v>50</v>
      </c>
      <c r="W80" s="270">
        <f t="shared" si="132"/>
        <v>39</v>
      </c>
      <c r="X80" s="366">
        <f t="shared" si="133"/>
        <v>19</v>
      </c>
      <c r="Y80" s="235">
        <f>ROUND(((X80/W80-1)*100), 1)</f>
        <v>-51.3</v>
      </c>
      <c r="Z80" s="630">
        <v>117</v>
      </c>
      <c r="AA80" s="635">
        <v>136</v>
      </c>
      <c r="AB80" s="235">
        <f t="shared" si="134"/>
        <v>16.2</v>
      </c>
      <c r="AC80" s="578">
        <f t="shared" si="143"/>
        <v>39</v>
      </c>
      <c r="AD80" s="589">
        <f t="shared" si="144"/>
        <v>32</v>
      </c>
      <c r="AE80" s="571">
        <f t="shared" si="145"/>
        <v>-17.899999999999999</v>
      </c>
      <c r="AF80" s="589">
        <v>156</v>
      </c>
      <c r="AG80" s="573">
        <v>168</v>
      </c>
      <c r="AH80" s="235">
        <f t="shared" si="138"/>
        <v>7.7</v>
      </c>
    </row>
    <row r="81" spans="1:34">
      <c r="A81" s="3"/>
      <c r="B81" s="39" t="s">
        <v>46</v>
      </c>
      <c r="C81" s="40">
        <v>398</v>
      </c>
      <c r="D81" s="40">
        <v>354</v>
      </c>
      <c r="E81" s="40">
        <v>266</v>
      </c>
      <c r="F81" s="40">
        <v>188</v>
      </c>
      <c r="G81" s="608">
        <v>284</v>
      </c>
      <c r="H81" s="635">
        <v>9</v>
      </c>
      <c r="I81" s="573">
        <v>15</v>
      </c>
      <c r="J81" s="235">
        <f t="shared" si="139"/>
        <v>66.7</v>
      </c>
      <c r="K81" s="270">
        <f t="shared" si="125"/>
        <v>27</v>
      </c>
      <c r="L81" s="366">
        <f t="shared" si="126"/>
        <v>35</v>
      </c>
      <c r="M81" s="571">
        <f t="shared" si="127"/>
        <v>29.6</v>
      </c>
      <c r="N81" s="589">
        <v>36</v>
      </c>
      <c r="O81" s="573">
        <v>50</v>
      </c>
      <c r="P81" s="235">
        <f t="shared" si="128"/>
        <v>38.9</v>
      </c>
      <c r="Q81" s="578">
        <f t="shared" si="140"/>
        <v>9</v>
      </c>
      <c r="R81" s="589">
        <f t="shared" si="141"/>
        <v>23</v>
      </c>
      <c r="S81" s="571">
        <f t="shared" si="142"/>
        <v>155.6</v>
      </c>
      <c r="T81" s="589">
        <v>45</v>
      </c>
      <c r="U81" s="573">
        <v>73</v>
      </c>
      <c r="V81" s="235">
        <f t="shared" si="131"/>
        <v>62.2</v>
      </c>
      <c r="W81" s="270">
        <f t="shared" si="132"/>
        <v>31</v>
      </c>
      <c r="X81" s="366">
        <f t="shared" si="133"/>
        <v>16</v>
      </c>
      <c r="Y81" s="571">
        <f>ROUND(((X81/W81-1)*100), 1)</f>
        <v>-48.4</v>
      </c>
      <c r="Z81" s="630">
        <v>76</v>
      </c>
      <c r="AA81" s="635">
        <v>89</v>
      </c>
      <c r="AB81" s="235">
        <f t="shared" si="134"/>
        <v>17.100000000000001</v>
      </c>
      <c r="AC81" s="578">
        <f t="shared" si="143"/>
        <v>32</v>
      </c>
      <c r="AD81" s="589">
        <f t="shared" si="144"/>
        <v>25</v>
      </c>
      <c r="AE81" s="571">
        <f t="shared" si="145"/>
        <v>-21.9</v>
      </c>
      <c r="AF81" s="589">
        <v>108</v>
      </c>
      <c r="AG81" s="573">
        <v>114</v>
      </c>
      <c r="AH81" s="235">
        <f t="shared" si="138"/>
        <v>5.6</v>
      </c>
    </row>
    <row r="82" spans="1:34">
      <c r="A82" s="3"/>
      <c r="B82" s="39" t="s">
        <v>65</v>
      </c>
      <c r="C82" s="40">
        <v>308</v>
      </c>
      <c r="D82" s="40">
        <v>385</v>
      </c>
      <c r="E82" s="40">
        <v>220</v>
      </c>
      <c r="F82" s="40">
        <v>211</v>
      </c>
      <c r="G82" s="608">
        <v>221</v>
      </c>
      <c r="H82" s="635">
        <v>11</v>
      </c>
      <c r="I82" s="573">
        <v>12</v>
      </c>
      <c r="J82" s="235">
        <f t="shared" si="139"/>
        <v>9.1</v>
      </c>
      <c r="K82" s="270">
        <f t="shared" si="125"/>
        <v>27</v>
      </c>
      <c r="L82" s="366">
        <f t="shared" si="126"/>
        <v>0</v>
      </c>
      <c r="M82" s="235">
        <f t="shared" si="127"/>
        <v>-100</v>
      </c>
      <c r="N82" s="589">
        <v>38</v>
      </c>
      <c r="O82" s="573">
        <v>12</v>
      </c>
      <c r="P82" s="235">
        <f t="shared" si="128"/>
        <v>-68.400000000000006</v>
      </c>
      <c r="Q82" s="578">
        <f t="shared" si="140"/>
        <v>8</v>
      </c>
      <c r="R82" s="589">
        <f t="shared" si="141"/>
        <v>28</v>
      </c>
      <c r="S82" s="571">
        <f t="shared" si="142"/>
        <v>250</v>
      </c>
      <c r="T82" s="589">
        <v>46</v>
      </c>
      <c r="U82" s="573">
        <v>40</v>
      </c>
      <c r="V82" s="235">
        <f t="shared" si="131"/>
        <v>-13</v>
      </c>
      <c r="W82" s="270">
        <f t="shared" si="132"/>
        <v>3</v>
      </c>
      <c r="X82" s="366">
        <f t="shared" si="133"/>
        <v>29</v>
      </c>
      <c r="Y82" s="235">
        <f>ROUND(((X82/W82-1)*100), 1)</f>
        <v>866.7</v>
      </c>
      <c r="Z82" s="630">
        <v>49</v>
      </c>
      <c r="AA82" s="635">
        <v>69</v>
      </c>
      <c r="AB82" s="235">
        <f t="shared" si="134"/>
        <v>40.799999999999997</v>
      </c>
      <c r="AC82" s="578">
        <f t="shared" si="143"/>
        <v>33</v>
      </c>
      <c r="AD82" s="589">
        <f t="shared" si="144"/>
        <v>33</v>
      </c>
      <c r="AE82" s="571">
        <f t="shared" si="145"/>
        <v>0</v>
      </c>
      <c r="AF82" s="589">
        <v>82</v>
      </c>
      <c r="AG82" s="573">
        <v>102</v>
      </c>
      <c r="AH82" s="235">
        <f t="shared" si="138"/>
        <v>24.4</v>
      </c>
    </row>
    <row r="83" spans="1:34">
      <c r="A83" s="3"/>
      <c r="B83" s="39" t="s">
        <v>120</v>
      </c>
      <c r="C83" s="40">
        <v>40</v>
      </c>
      <c r="D83" s="40">
        <v>33</v>
      </c>
      <c r="E83" s="40">
        <v>45</v>
      </c>
      <c r="F83" s="40">
        <v>50</v>
      </c>
      <c r="G83" s="608">
        <v>103</v>
      </c>
      <c r="H83" s="635">
        <v>3</v>
      </c>
      <c r="I83" s="573">
        <v>5</v>
      </c>
      <c r="J83" s="235">
        <f t="shared" si="139"/>
        <v>66.7</v>
      </c>
      <c r="K83" s="270">
        <f t="shared" si="125"/>
        <v>10</v>
      </c>
      <c r="L83" s="366">
        <f t="shared" si="126"/>
        <v>1</v>
      </c>
      <c r="M83" s="571">
        <f t="shared" si="127"/>
        <v>-90</v>
      </c>
      <c r="N83" s="589">
        <v>13</v>
      </c>
      <c r="O83" s="573">
        <v>6</v>
      </c>
      <c r="P83" s="235">
        <f t="shared" si="128"/>
        <v>-53.8</v>
      </c>
      <c r="Q83" s="578">
        <f t="shared" si="140"/>
        <v>18</v>
      </c>
      <c r="R83" s="589">
        <f t="shared" si="141"/>
        <v>15</v>
      </c>
      <c r="S83" s="571">
        <f t="shared" si="142"/>
        <v>-16.7</v>
      </c>
      <c r="T83" s="589">
        <v>31</v>
      </c>
      <c r="U83" s="573">
        <v>21</v>
      </c>
      <c r="V83" s="235">
        <f t="shared" si="131"/>
        <v>-32.299999999999997</v>
      </c>
      <c r="W83" s="270">
        <f t="shared" si="132"/>
        <v>14</v>
      </c>
      <c r="X83" s="366">
        <f t="shared" si="133"/>
        <v>6</v>
      </c>
      <c r="Y83" s="235">
        <f>ROUND(((X83/W83-1)*100), 1)</f>
        <v>-57.1</v>
      </c>
      <c r="Z83" s="630">
        <v>45</v>
      </c>
      <c r="AA83" s="635">
        <v>27</v>
      </c>
      <c r="AB83" s="235">
        <f t="shared" si="134"/>
        <v>-40</v>
      </c>
      <c r="AC83" s="578">
        <f t="shared" si="143"/>
        <v>1</v>
      </c>
      <c r="AD83" s="589">
        <f t="shared" si="144"/>
        <v>9</v>
      </c>
      <c r="AE83" s="571">
        <f t="shared" si="145"/>
        <v>800</v>
      </c>
      <c r="AF83" s="589">
        <v>46</v>
      </c>
      <c r="AG83" s="573">
        <v>36</v>
      </c>
      <c r="AH83" s="235">
        <f t="shared" si="138"/>
        <v>-21.7</v>
      </c>
    </row>
    <row r="84" spans="1:34">
      <c r="A84" s="3"/>
      <c r="B84" s="39" t="s">
        <v>51</v>
      </c>
      <c r="C84" s="40">
        <v>112</v>
      </c>
      <c r="D84" s="40">
        <v>127</v>
      </c>
      <c r="E84" s="40">
        <v>162</v>
      </c>
      <c r="F84" s="40">
        <v>26</v>
      </c>
      <c r="G84" s="608">
        <v>59</v>
      </c>
      <c r="H84" s="635">
        <v>13</v>
      </c>
      <c r="I84" s="573">
        <v>13</v>
      </c>
      <c r="J84" s="571">
        <f t="shared" si="139"/>
        <v>0</v>
      </c>
      <c r="K84" s="270">
        <f t="shared" si="125"/>
        <v>0</v>
      </c>
      <c r="L84" s="366">
        <f t="shared" si="126"/>
        <v>0</v>
      </c>
      <c r="M84" s="171">
        <v>0</v>
      </c>
      <c r="N84" s="589">
        <v>13</v>
      </c>
      <c r="O84" s="573">
        <v>13</v>
      </c>
      <c r="P84" s="571">
        <f t="shared" si="128"/>
        <v>0</v>
      </c>
      <c r="Q84" s="578">
        <f t="shared" si="140"/>
        <v>0</v>
      </c>
      <c r="R84" s="589">
        <f t="shared" si="141"/>
        <v>0</v>
      </c>
      <c r="S84" s="579">
        <v>0</v>
      </c>
      <c r="T84" s="589">
        <v>13</v>
      </c>
      <c r="U84" s="573">
        <v>13</v>
      </c>
      <c r="V84" s="571">
        <f t="shared" si="131"/>
        <v>0</v>
      </c>
      <c r="W84" s="578">
        <f t="shared" ref="W84:W90" si="146">Z84-T84</f>
        <v>0</v>
      </c>
      <c r="X84" s="589">
        <f t="shared" ref="X84:X90" si="147">AA84-U84</f>
        <v>17</v>
      </c>
      <c r="Y84" s="579">
        <v>0</v>
      </c>
      <c r="Z84" s="630">
        <v>13</v>
      </c>
      <c r="AA84" s="635">
        <v>30</v>
      </c>
      <c r="AB84" s="235">
        <f t="shared" si="134"/>
        <v>130.80000000000001</v>
      </c>
      <c r="AC84" s="578">
        <f t="shared" si="143"/>
        <v>31</v>
      </c>
      <c r="AD84" s="589">
        <f t="shared" si="144"/>
        <v>0</v>
      </c>
      <c r="AE84" s="571">
        <f t="shared" si="145"/>
        <v>-100</v>
      </c>
      <c r="AF84" s="589">
        <v>44</v>
      </c>
      <c r="AG84" s="573">
        <v>30</v>
      </c>
      <c r="AH84" s="235">
        <f t="shared" si="138"/>
        <v>-31.8</v>
      </c>
    </row>
    <row r="85" spans="1:34">
      <c r="A85" s="3"/>
      <c r="B85" s="39" t="s">
        <v>62</v>
      </c>
      <c r="C85" s="40">
        <v>222</v>
      </c>
      <c r="D85" s="40">
        <v>184</v>
      </c>
      <c r="E85" s="40">
        <v>119</v>
      </c>
      <c r="F85" s="40">
        <v>119</v>
      </c>
      <c r="G85" s="608">
        <v>46</v>
      </c>
      <c r="H85" s="635">
        <v>0</v>
      </c>
      <c r="I85" s="573">
        <v>5</v>
      </c>
      <c r="J85" s="579">
        <v>0</v>
      </c>
      <c r="K85" s="270">
        <f t="shared" si="125"/>
        <v>0</v>
      </c>
      <c r="L85" s="366">
        <f t="shared" si="126"/>
        <v>20</v>
      </c>
      <c r="M85" s="579">
        <v>0</v>
      </c>
      <c r="N85" s="589">
        <v>0</v>
      </c>
      <c r="O85" s="573">
        <v>25</v>
      </c>
      <c r="P85" s="579">
        <v>0</v>
      </c>
      <c r="Q85" s="578">
        <f t="shared" si="140"/>
        <v>0</v>
      </c>
      <c r="R85" s="589">
        <f t="shared" si="141"/>
        <v>19</v>
      </c>
      <c r="S85" s="579">
        <v>0</v>
      </c>
      <c r="T85" s="589">
        <v>0</v>
      </c>
      <c r="U85" s="573">
        <v>44</v>
      </c>
      <c r="V85" s="579">
        <v>0</v>
      </c>
      <c r="W85" s="578">
        <f t="shared" si="146"/>
        <v>0</v>
      </c>
      <c r="X85" s="589">
        <f t="shared" si="147"/>
        <v>0</v>
      </c>
      <c r="Y85" s="579">
        <v>0</v>
      </c>
      <c r="Z85" s="630">
        <v>0</v>
      </c>
      <c r="AA85" s="635">
        <v>44</v>
      </c>
      <c r="AB85" s="579">
        <v>0</v>
      </c>
      <c r="AC85" s="578">
        <f t="shared" si="143"/>
        <v>0</v>
      </c>
      <c r="AD85" s="589">
        <f t="shared" si="144"/>
        <v>41</v>
      </c>
      <c r="AE85" s="579">
        <v>0</v>
      </c>
      <c r="AF85" s="589">
        <v>0</v>
      </c>
      <c r="AG85" s="573">
        <v>85</v>
      </c>
      <c r="AH85" s="579">
        <v>0</v>
      </c>
    </row>
    <row r="86" spans="1:34">
      <c r="A86" s="3"/>
      <c r="B86" s="39" t="s">
        <v>118</v>
      </c>
      <c r="C86" s="40">
        <v>65</v>
      </c>
      <c r="D86" s="40">
        <v>89</v>
      </c>
      <c r="E86" s="40">
        <v>58</v>
      </c>
      <c r="F86" s="40">
        <v>64</v>
      </c>
      <c r="G86" s="608">
        <v>26</v>
      </c>
      <c r="H86" s="635">
        <v>11</v>
      </c>
      <c r="I86" s="573">
        <v>0</v>
      </c>
      <c r="J86" s="571">
        <f t="shared" si="139"/>
        <v>-100</v>
      </c>
      <c r="K86" s="270">
        <f t="shared" si="125"/>
        <v>0</v>
      </c>
      <c r="L86" s="366">
        <f t="shared" si="126"/>
        <v>0</v>
      </c>
      <c r="M86" s="571"/>
      <c r="N86" s="589">
        <v>11</v>
      </c>
      <c r="O86" s="573">
        <v>0</v>
      </c>
      <c r="P86" s="235">
        <f>ROUND(((O86/N86-1)*100), 1)</f>
        <v>-100</v>
      </c>
      <c r="Q86" s="578">
        <f t="shared" si="140"/>
        <v>0</v>
      </c>
      <c r="R86" s="589">
        <f t="shared" si="141"/>
        <v>13</v>
      </c>
      <c r="S86" s="579">
        <v>0</v>
      </c>
      <c r="T86" s="589">
        <v>11</v>
      </c>
      <c r="U86" s="573">
        <v>13</v>
      </c>
      <c r="V86" s="571">
        <f t="shared" si="131"/>
        <v>18.2</v>
      </c>
      <c r="W86" s="578">
        <f t="shared" si="146"/>
        <v>0</v>
      </c>
      <c r="X86" s="589">
        <f t="shared" si="147"/>
        <v>0</v>
      </c>
      <c r="Y86" s="579">
        <v>0</v>
      </c>
      <c r="Z86" s="630">
        <v>11</v>
      </c>
      <c r="AA86" s="635">
        <v>13</v>
      </c>
      <c r="AB86" s="235">
        <f t="shared" si="134"/>
        <v>18.2</v>
      </c>
      <c r="AC86" s="578">
        <f t="shared" si="143"/>
        <v>0</v>
      </c>
      <c r="AD86" s="589">
        <f t="shared" si="144"/>
        <v>0</v>
      </c>
      <c r="AE86" s="579">
        <v>0</v>
      </c>
      <c r="AF86" s="589">
        <v>11</v>
      </c>
      <c r="AG86" s="573">
        <v>13</v>
      </c>
      <c r="AH86" s="235">
        <f t="shared" si="138"/>
        <v>18.2</v>
      </c>
    </row>
    <row r="87" spans="1:34">
      <c r="A87" s="3"/>
      <c r="B87" s="39" t="s">
        <v>109</v>
      </c>
      <c r="C87" s="40">
        <v>13</v>
      </c>
      <c r="D87" s="40">
        <v>16</v>
      </c>
      <c r="E87" s="40">
        <v>18</v>
      </c>
      <c r="F87" s="40">
        <v>17</v>
      </c>
      <c r="G87" s="608">
        <v>25</v>
      </c>
      <c r="H87" s="635">
        <v>2</v>
      </c>
      <c r="I87" s="573">
        <v>13</v>
      </c>
      <c r="J87" s="571">
        <f t="shared" si="139"/>
        <v>550</v>
      </c>
      <c r="K87" s="270">
        <f t="shared" si="125"/>
        <v>11</v>
      </c>
      <c r="L87" s="366">
        <f t="shared" si="126"/>
        <v>0</v>
      </c>
      <c r="M87" s="571">
        <f>ROUND(((L87/K87-1)*100), 1)</f>
        <v>-100</v>
      </c>
      <c r="N87" s="589">
        <v>13</v>
      </c>
      <c r="O87" s="573">
        <v>13</v>
      </c>
      <c r="P87" s="571">
        <f>ROUND(((O87/N87-1)*100), 1)</f>
        <v>0</v>
      </c>
      <c r="Q87" s="578">
        <f t="shared" si="140"/>
        <v>2</v>
      </c>
      <c r="R87" s="589">
        <f t="shared" si="141"/>
        <v>0</v>
      </c>
      <c r="S87" s="571">
        <f t="shared" si="142"/>
        <v>-100</v>
      </c>
      <c r="T87" s="589">
        <v>15</v>
      </c>
      <c r="U87" s="573">
        <v>13</v>
      </c>
      <c r="V87" s="571">
        <f t="shared" si="131"/>
        <v>-13.3</v>
      </c>
      <c r="W87" s="578">
        <f t="shared" si="146"/>
        <v>1</v>
      </c>
      <c r="X87" s="589">
        <f t="shared" si="147"/>
        <v>0</v>
      </c>
      <c r="Y87" s="571">
        <f t="shared" ref="Y87:Y88" si="148">ROUND(((X87/W87-1)*100), 1)</f>
        <v>-100</v>
      </c>
      <c r="Z87" s="630">
        <v>16</v>
      </c>
      <c r="AA87" s="635">
        <v>13</v>
      </c>
      <c r="AB87" s="235">
        <f t="shared" si="134"/>
        <v>-18.8</v>
      </c>
      <c r="AC87" s="578">
        <f t="shared" si="143"/>
        <v>2</v>
      </c>
      <c r="AD87" s="589">
        <f t="shared" si="144"/>
        <v>15</v>
      </c>
      <c r="AE87" s="571">
        <f t="shared" si="145"/>
        <v>650</v>
      </c>
      <c r="AF87" s="589">
        <v>18</v>
      </c>
      <c r="AG87" s="573">
        <v>28</v>
      </c>
      <c r="AH87" s="235">
        <f t="shared" si="138"/>
        <v>55.6</v>
      </c>
    </row>
    <row r="88" spans="1:34" s="605" customFormat="1">
      <c r="A88" s="675"/>
      <c r="B88" s="611" t="s">
        <v>536</v>
      </c>
      <c r="C88" s="608">
        <v>0</v>
      </c>
      <c r="D88" s="608">
        <v>20</v>
      </c>
      <c r="E88" s="608">
        <v>2</v>
      </c>
      <c r="F88" s="608">
        <v>2</v>
      </c>
      <c r="G88" s="608">
        <v>24</v>
      </c>
      <c r="H88" s="635">
        <v>1</v>
      </c>
      <c r="I88" s="573">
        <v>0</v>
      </c>
      <c r="J88" s="571">
        <f t="shared" si="139"/>
        <v>-100</v>
      </c>
      <c r="K88" s="578"/>
      <c r="L88" s="589"/>
      <c r="M88" s="571"/>
      <c r="N88" s="589">
        <v>1</v>
      </c>
      <c r="O88" s="573">
        <v>20</v>
      </c>
      <c r="P88" s="571">
        <f t="shared" ref="P88" si="149">ROUND(((O88/N88-1)*100), 1)</f>
        <v>1900</v>
      </c>
      <c r="Q88" s="578">
        <f t="shared" si="140"/>
        <v>0</v>
      </c>
      <c r="R88" s="589">
        <f t="shared" si="141"/>
        <v>19</v>
      </c>
      <c r="S88" s="579">
        <v>0</v>
      </c>
      <c r="T88" s="589">
        <v>1</v>
      </c>
      <c r="U88" s="573">
        <v>39</v>
      </c>
      <c r="V88" s="571">
        <f t="shared" si="131"/>
        <v>3800</v>
      </c>
      <c r="W88" s="578">
        <f t="shared" si="146"/>
        <v>1</v>
      </c>
      <c r="X88" s="589">
        <f t="shared" si="147"/>
        <v>20</v>
      </c>
      <c r="Y88" s="571">
        <f t="shared" si="148"/>
        <v>1900</v>
      </c>
      <c r="Z88" s="630">
        <v>2</v>
      </c>
      <c r="AA88" s="635">
        <v>59</v>
      </c>
      <c r="AB88" s="571">
        <f t="shared" si="134"/>
        <v>2850</v>
      </c>
      <c r="AC88" s="578">
        <f t="shared" si="143"/>
        <v>0</v>
      </c>
      <c r="AD88" s="589">
        <f t="shared" si="144"/>
        <v>0</v>
      </c>
      <c r="AE88" s="579">
        <v>0</v>
      </c>
      <c r="AF88" s="589">
        <v>2</v>
      </c>
      <c r="AG88" s="573">
        <v>59</v>
      </c>
      <c r="AH88" s="571">
        <f t="shared" si="138"/>
        <v>2850</v>
      </c>
    </row>
    <row r="89" spans="1:34">
      <c r="A89" s="3"/>
      <c r="B89" s="39" t="s">
        <v>105</v>
      </c>
      <c r="C89" s="40">
        <v>975</v>
      </c>
      <c r="D89" s="40">
        <v>197</v>
      </c>
      <c r="E89" s="40">
        <v>0</v>
      </c>
      <c r="F89" s="40">
        <v>19</v>
      </c>
      <c r="G89" s="608">
        <v>13</v>
      </c>
      <c r="H89" s="635">
        <v>0</v>
      </c>
      <c r="I89" s="573">
        <v>0</v>
      </c>
      <c r="J89" s="171">
        <v>0</v>
      </c>
      <c r="K89" s="270">
        <f t="shared" ref="K89:L91" si="150">N89-H89</f>
        <v>0</v>
      </c>
      <c r="L89" s="366">
        <f t="shared" si="150"/>
        <v>0</v>
      </c>
      <c r="M89" s="171">
        <v>0</v>
      </c>
      <c r="N89" s="589">
        <v>0</v>
      </c>
      <c r="O89" s="573">
        <v>0</v>
      </c>
      <c r="P89" s="171">
        <v>0</v>
      </c>
      <c r="Q89" s="578">
        <f t="shared" si="140"/>
        <v>0</v>
      </c>
      <c r="R89" s="589">
        <f t="shared" si="141"/>
        <v>0</v>
      </c>
      <c r="S89" s="579">
        <v>0</v>
      </c>
      <c r="T89" s="589">
        <v>0</v>
      </c>
      <c r="U89" s="573">
        <v>0</v>
      </c>
      <c r="V89" s="579">
        <v>0</v>
      </c>
      <c r="W89" s="578">
        <f t="shared" si="146"/>
        <v>0</v>
      </c>
      <c r="X89" s="589">
        <f t="shared" si="147"/>
        <v>0</v>
      </c>
      <c r="Y89" s="579">
        <v>0</v>
      </c>
      <c r="Z89" s="630">
        <v>0</v>
      </c>
      <c r="AA89" s="635">
        <v>0</v>
      </c>
      <c r="AB89" s="462">
        <v>0</v>
      </c>
      <c r="AC89" s="578">
        <f t="shared" si="143"/>
        <v>10</v>
      </c>
      <c r="AD89" s="589">
        <f t="shared" si="144"/>
        <v>0</v>
      </c>
      <c r="AE89" s="571">
        <f t="shared" si="145"/>
        <v>-100</v>
      </c>
      <c r="AF89" s="589">
        <v>10</v>
      </c>
      <c r="AG89" s="573">
        <v>0</v>
      </c>
      <c r="AH89" s="571">
        <f t="shared" si="138"/>
        <v>-100</v>
      </c>
    </row>
    <row r="90" spans="1:34">
      <c r="A90" s="3"/>
      <c r="B90" s="39" t="s">
        <v>130</v>
      </c>
      <c r="C90" s="40">
        <v>0</v>
      </c>
      <c r="D90" s="40">
        <v>1586</v>
      </c>
      <c r="E90" s="40">
        <v>3916</v>
      </c>
      <c r="F90" s="40">
        <v>220</v>
      </c>
      <c r="G90" s="608">
        <v>0</v>
      </c>
      <c r="H90" s="635">
        <v>0</v>
      </c>
      <c r="I90" s="573">
        <v>0</v>
      </c>
      <c r="J90" s="579">
        <v>0</v>
      </c>
      <c r="K90" s="270">
        <f t="shared" si="150"/>
        <v>0</v>
      </c>
      <c r="L90" s="366">
        <f t="shared" si="150"/>
        <v>0</v>
      </c>
      <c r="M90" s="570">
        <v>0</v>
      </c>
      <c r="N90" s="589">
        <v>0</v>
      </c>
      <c r="O90" s="573">
        <v>0</v>
      </c>
      <c r="P90" s="579">
        <v>0</v>
      </c>
      <c r="Q90" s="578">
        <f t="shared" si="140"/>
        <v>0</v>
      </c>
      <c r="R90" s="589">
        <f t="shared" si="141"/>
        <v>0</v>
      </c>
      <c r="S90" s="579">
        <v>0</v>
      </c>
      <c r="T90" s="589">
        <v>0</v>
      </c>
      <c r="U90" s="573">
        <v>0</v>
      </c>
      <c r="V90" s="579">
        <v>0</v>
      </c>
      <c r="W90" s="578">
        <f t="shared" si="146"/>
        <v>0</v>
      </c>
      <c r="X90" s="589">
        <f t="shared" si="147"/>
        <v>110</v>
      </c>
      <c r="Y90" s="579">
        <v>0</v>
      </c>
      <c r="Z90" s="630">
        <v>0</v>
      </c>
      <c r="AA90" s="635">
        <v>110</v>
      </c>
      <c r="AB90" s="579">
        <v>0</v>
      </c>
      <c r="AC90" s="578">
        <f t="shared" si="143"/>
        <v>0</v>
      </c>
      <c r="AD90" s="589">
        <f t="shared" si="144"/>
        <v>0</v>
      </c>
      <c r="AE90" s="579">
        <v>0</v>
      </c>
      <c r="AF90" s="589">
        <v>0</v>
      </c>
      <c r="AG90" s="573">
        <v>110</v>
      </c>
      <c r="AH90" s="579">
        <v>0</v>
      </c>
    </row>
    <row r="91" spans="1:34">
      <c r="A91" s="3"/>
      <c r="B91" s="39" t="s">
        <v>84</v>
      </c>
      <c r="C91" s="40">
        <v>0</v>
      </c>
      <c r="D91" s="40">
        <v>2208</v>
      </c>
      <c r="E91" s="40">
        <v>1731</v>
      </c>
      <c r="F91" s="40">
        <v>1</v>
      </c>
      <c r="G91" s="608">
        <v>0</v>
      </c>
      <c r="H91" s="635">
        <v>0</v>
      </c>
      <c r="I91" s="573">
        <v>0</v>
      </c>
      <c r="J91" s="171">
        <v>0</v>
      </c>
      <c r="K91" s="270">
        <f t="shared" si="150"/>
        <v>0</v>
      </c>
      <c r="L91" s="366">
        <f t="shared" si="150"/>
        <v>0</v>
      </c>
      <c r="M91" s="171">
        <v>0</v>
      </c>
      <c r="N91" s="589">
        <v>0</v>
      </c>
      <c r="O91" s="573">
        <v>0</v>
      </c>
      <c r="P91" s="171">
        <v>0</v>
      </c>
      <c r="Q91" s="270">
        <f t="shared" ref="Q91:R91" si="151">T91-N91</f>
        <v>0</v>
      </c>
      <c r="R91" s="366">
        <f t="shared" si="151"/>
        <v>0</v>
      </c>
      <c r="S91" s="171">
        <v>0</v>
      </c>
      <c r="T91" s="589">
        <v>0</v>
      </c>
      <c r="U91" s="573">
        <v>0</v>
      </c>
      <c r="V91" s="171">
        <v>0</v>
      </c>
      <c r="W91" s="270">
        <f t="shared" ref="W91:X91" si="152">Z91-T91</f>
        <v>0</v>
      </c>
      <c r="X91" s="366">
        <f t="shared" si="152"/>
        <v>0</v>
      </c>
      <c r="Y91" s="462">
        <v>0</v>
      </c>
      <c r="Z91" s="630">
        <v>0</v>
      </c>
      <c r="AA91" s="635">
        <v>0</v>
      </c>
      <c r="AB91" s="462">
        <v>0</v>
      </c>
      <c r="AC91" s="578">
        <f t="shared" si="143"/>
        <v>0</v>
      </c>
      <c r="AD91" s="589">
        <f t="shared" si="144"/>
        <v>0</v>
      </c>
      <c r="AE91" s="579">
        <v>0</v>
      </c>
      <c r="AF91" s="589">
        <v>0</v>
      </c>
      <c r="AG91" s="573">
        <v>0</v>
      </c>
      <c r="AH91" s="579">
        <v>0</v>
      </c>
    </row>
    <row r="92" spans="1:34">
      <c r="A92" s="3"/>
      <c r="B92" s="39" t="s">
        <v>18</v>
      </c>
      <c r="C92" s="40">
        <f t="shared" ref="C92:I92" si="153">C93-SUM(C74:C91)</f>
        <v>30</v>
      </c>
      <c r="D92" s="40">
        <f t="shared" si="153"/>
        <v>339</v>
      </c>
      <c r="E92" s="40">
        <f t="shared" si="153"/>
        <v>29</v>
      </c>
      <c r="F92" s="40">
        <f t="shared" si="153"/>
        <v>33</v>
      </c>
      <c r="G92" s="343">
        <f t="shared" si="153"/>
        <v>33</v>
      </c>
      <c r="H92" s="630">
        <f t="shared" si="153"/>
        <v>3</v>
      </c>
      <c r="I92" s="589">
        <f t="shared" si="153"/>
        <v>15</v>
      </c>
      <c r="J92" s="235">
        <f>ROUND(((I92/H92-1)*100), 1)</f>
        <v>400</v>
      </c>
      <c r="K92" s="359">
        <f>K93-SUM(K74:K91)</f>
        <v>4</v>
      </c>
      <c r="L92" s="366">
        <f>L93-SUM(L74:L91)</f>
        <v>25</v>
      </c>
      <c r="M92" s="235">
        <f>ROUND(((L92/K92-1)*100), 1)</f>
        <v>525</v>
      </c>
      <c r="N92" s="589">
        <f>N93-SUM(N74:N91)</f>
        <v>7</v>
      </c>
      <c r="O92" s="589">
        <f>O93-SUM(O74:O91)</f>
        <v>20</v>
      </c>
      <c r="P92" s="235">
        <f>ROUND(((O92/N92-1)*100), 1)</f>
        <v>185.7</v>
      </c>
      <c r="Q92" s="359">
        <f>Q93-SUM(Q74:Q91)</f>
        <v>7</v>
      </c>
      <c r="R92" s="366">
        <f>R93-SUM(R74:R91)</f>
        <v>7</v>
      </c>
      <c r="S92" s="235">
        <f>ROUND(((R92/Q92-1)*100), 1)</f>
        <v>0</v>
      </c>
      <c r="T92" s="589">
        <f>T93-SUM(T74:T91)</f>
        <v>14</v>
      </c>
      <c r="U92" s="589">
        <f>U93-SUM(U74:U91)</f>
        <v>27</v>
      </c>
      <c r="V92" s="235">
        <f>ROUND(((U92/T92-1)*100), 1)</f>
        <v>92.9</v>
      </c>
      <c r="W92" s="468">
        <f>W93-SUM(W74:W91)</f>
        <v>9</v>
      </c>
      <c r="X92" s="366">
        <f>X93-SUM(X74:X91)</f>
        <v>16</v>
      </c>
      <c r="Y92" s="571">
        <f t="shared" ref="Y92" si="154">ROUND(((X92/W92-1)*100), 1)</f>
        <v>77.8</v>
      </c>
      <c r="Z92" s="630">
        <f>Z93-SUM(Z74:Z91)</f>
        <v>23</v>
      </c>
      <c r="AA92" s="630">
        <f>AA93-SUM(AA74:AA91)</f>
        <v>43</v>
      </c>
      <c r="AB92" s="235">
        <f>ROUND(((AA92/Z92-1)*100), 1)</f>
        <v>87</v>
      </c>
      <c r="AC92" s="468">
        <f>AC93-SUM(AC74:AC91)</f>
        <v>0</v>
      </c>
      <c r="AD92" s="366">
        <f>AD93-SUM(AD74:AD91)</f>
        <v>4</v>
      </c>
      <c r="AE92" s="463">
        <v>0</v>
      </c>
      <c r="AF92" s="589">
        <f>AF93-SUM(AF74:AF91)</f>
        <v>23</v>
      </c>
      <c r="AG92" s="589">
        <f>AG93-SUM(AG74:AG91)</f>
        <v>47</v>
      </c>
      <c r="AH92" s="235">
        <f>ROUND(((AG92/AF92-1)*100), 1)</f>
        <v>104.3</v>
      </c>
    </row>
    <row r="93" spans="1:34">
      <c r="A93" s="8"/>
      <c r="B93" s="63" t="s">
        <v>101</v>
      </c>
      <c r="C93" s="42">
        <v>6670</v>
      </c>
      <c r="D93" s="42">
        <v>15871</v>
      </c>
      <c r="E93" s="42">
        <v>16060</v>
      </c>
      <c r="F93" s="42">
        <v>10513</v>
      </c>
      <c r="G93" s="609">
        <v>12322</v>
      </c>
      <c r="H93" s="632">
        <v>1018</v>
      </c>
      <c r="I93" s="582">
        <v>1244</v>
      </c>
      <c r="J93" s="236">
        <f>ROUND(((I93/H93-1)*100), 1)</f>
        <v>22.2</v>
      </c>
      <c r="K93" s="268">
        <f>N93-H93</f>
        <v>945</v>
      </c>
      <c r="L93" s="280">
        <f>O93-I93</f>
        <v>880</v>
      </c>
      <c r="M93" s="236">
        <f>ROUND(((L93/K93-1)*100), 1)</f>
        <v>-6.9</v>
      </c>
      <c r="N93" s="582">
        <v>1963</v>
      </c>
      <c r="O93" s="582">
        <v>2124</v>
      </c>
      <c r="P93" s="236">
        <f>ROUND(((O93/N93-1)*100), 1)</f>
        <v>8.1999999999999993</v>
      </c>
      <c r="Q93" s="268">
        <f>T93-N93</f>
        <v>1378</v>
      </c>
      <c r="R93" s="280">
        <f>U93-O93</f>
        <v>1135</v>
      </c>
      <c r="S93" s="236">
        <f>ROUND(((R93/Q93-1)*100), 1)</f>
        <v>-17.600000000000001</v>
      </c>
      <c r="T93" s="582">
        <v>3341</v>
      </c>
      <c r="U93" s="582">
        <v>3259</v>
      </c>
      <c r="V93" s="236">
        <f>ROUND(((U93/T93-1)*100), 1)</f>
        <v>-2.5</v>
      </c>
      <c r="W93" s="268">
        <f>Z93-T93</f>
        <v>867</v>
      </c>
      <c r="X93" s="280">
        <f>AA93-U93</f>
        <v>1649</v>
      </c>
      <c r="Y93" s="236">
        <f>ROUND(((X93/W93-1)*100), 1)</f>
        <v>90.2</v>
      </c>
      <c r="Z93" s="632">
        <v>4208</v>
      </c>
      <c r="AA93" s="632">
        <v>4908</v>
      </c>
      <c r="AB93" s="236">
        <f>ROUND(((AA93/Z93-1)*100), 1)</f>
        <v>16.600000000000001</v>
      </c>
      <c r="AC93" s="268">
        <f>AF93-Z93</f>
        <v>909</v>
      </c>
      <c r="AD93" s="280">
        <f>AG93-AA93</f>
        <v>757</v>
      </c>
      <c r="AE93" s="236">
        <f>ROUND(((AD93/AC93-1)*100), 1)</f>
        <v>-16.7</v>
      </c>
      <c r="AF93" s="582">
        <v>5117</v>
      </c>
      <c r="AG93" s="582">
        <v>5665</v>
      </c>
      <c r="AH93" s="236">
        <f>ROUND(((AG93/AF93-1)*100), 1)</f>
        <v>10.7</v>
      </c>
    </row>
    <row r="94" spans="1:34">
      <c r="A94" s="108" t="s">
        <v>111</v>
      </c>
      <c r="J94" s="261"/>
    </row>
    <row r="95" spans="1:34">
      <c r="J95" s="257"/>
      <c r="K95" s="292"/>
      <c r="Q95" s="292"/>
      <c r="W95" s="292"/>
      <c r="AC95" s="292"/>
    </row>
    <row r="96" spans="1:34">
      <c r="A96" s="77" t="s">
        <v>237</v>
      </c>
      <c r="B96" s="80"/>
      <c r="C96" s="79"/>
      <c r="G96" s="267" t="s">
        <v>238</v>
      </c>
      <c r="H96" s="625"/>
      <c r="I96" s="568"/>
      <c r="J96" s="265"/>
      <c r="K96" s="267"/>
      <c r="L96" s="267"/>
      <c r="M96" s="265"/>
      <c r="N96" s="568"/>
      <c r="O96" s="568"/>
      <c r="P96" s="265"/>
      <c r="Q96" s="267"/>
      <c r="R96" s="267"/>
      <c r="S96" s="265"/>
      <c r="T96" s="568"/>
      <c r="U96" s="568"/>
      <c r="V96" s="265"/>
      <c r="W96" s="267"/>
      <c r="X96" s="267"/>
      <c r="Y96" s="265"/>
      <c r="Z96" s="625"/>
      <c r="AA96" s="625"/>
      <c r="AB96" s="265"/>
      <c r="AC96" s="267"/>
      <c r="AD96" s="267"/>
      <c r="AE96" s="265"/>
      <c r="AF96" s="568"/>
      <c r="AG96" s="568"/>
      <c r="AH96" s="265"/>
    </row>
    <row r="97" spans="1:34">
      <c r="B97" s="26"/>
      <c r="C97" s="71"/>
      <c r="D97" s="71"/>
      <c r="E97" s="266"/>
      <c r="F97" s="266"/>
      <c r="G97" s="567"/>
      <c r="H97" s="624"/>
      <c r="I97" s="567"/>
      <c r="J97" s="262" t="s">
        <v>87</v>
      </c>
      <c r="K97" s="266"/>
      <c r="L97" s="266"/>
      <c r="M97" s="262"/>
      <c r="N97" s="567"/>
      <c r="O97" s="567"/>
      <c r="P97" s="262" t="s">
        <v>87</v>
      </c>
      <c r="Q97" s="266"/>
      <c r="R97" s="266"/>
      <c r="S97" s="262"/>
      <c r="T97" s="567"/>
      <c r="U97" s="567"/>
      <c r="V97" s="262" t="s">
        <v>87</v>
      </c>
      <c r="W97" s="266"/>
      <c r="X97" s="266"/>
      <c r="Y97" s="262"/>
      <c r="Z97" s="624"/>
      <c r="AA97" s="624"/>
      <c r="AB97" s="262" t="s">
        <v>87</v>
      </c>
      <c r="AC97" s="266"/>
      <c r="AD97" s="266"/>
      <c r="AE97" s="262"/>
      <c r="AF97" s="567"/>
      <c r="AG97" s="567"/>
      <c r="AH97" s="262" t="s">
        <v>87</v>
      </c>
    </row>
    <row r="98" spans="1:34">
      <c r="A98" s="733" t="s">
        <v>88</v>
      </c>
      <c r="B98" s="733"/>
      <c r="C98" s="855" t="s">
        <v>2</v>
      </c>
      <c r="D98" s="855" t="s">
        <v>74</v>
      </c>
      <c r="E98" s="855" t="s">
        <v>76</v>
      </c>
      <c r="F98" s="850" t="s">
        <v>294</v>
      </c>
      <c r="G98" s="850" t="s">
        <v>431</v>
      </c>
      <c r="H98" s="864" t="s">
        <v>33</v>
      </c>
      <c r="I98" s="749"/>
      <c r="J98" s="733"/>
      <c r="K98" s="837" t="s">
        <v>471</v>
      </c>
      <c r="L98" s="838"/>
      <c r="M98" s="839"/>
      <c r="N98" s="837" t="s">
        <v>472</v>
      </c>
      <c r="O98" s="838"/>
      <c r="P98" s="839"/>
      <c r="Q98" s="837" t="s">
        <v>477</v>
      </c>
      <c r="R98" s="838"/>
      <c r="S98" s="839"/>
      <c r="T98" s="837" t="s">
        <v>478</v>
      </c>
      <c r="U98" s="838"/>
      <c r="V98" s="839"/>
      <c r="W98" s="837" t="s">
        <v>484</v>
      </c>
      <c r="X98" s="838"/>
      <c r="Y98" s="839"/>
      <c r="Z98" s="837" t="s">
        <v>486</v>
      </c>
      <c r="AA98" s="838"/>
      <c r="AB98" s="839"/>
      <c r="AC98" s="837" t="s">
        <v>492</v>
      </c>
      <c r="AD98" s="838"/>
      <c r="AE98" s="839"/>
      <c r="AF98" s="837" t="s">
        <v>493</v>
      </c>
      <c r="AG98" s="838"/>
      <c r="AH98" s="839"/>
    </row>
    <row r="99" spans="1:34">
      <c r="A99" s="733"/>
      <c r="B99" s="733"/>
      <c r="C99" s="855"/>
      <c r="D99" s="855"/>
      <c r="E99" s="855"/>
      <c r="F99" s="851"/>
      <c r="G99" s="851"/>
      <c r="H99" s="698" t="s">
        <v>431</v>
      </c>
      <c r="I99" s="533" t="s">
        <v>503</v>
      </c>
      <c r="J99" s="531" t="s">
        <v>5</v>
      </c>
      <c r="K99" s="535" t="s">
        <v>431</v>
      </c>
      <c r="L99" s="533" t="s">
        <v>503</v>
      </c>
      <c r="M99" s="531" t="s">
        <v>5</v>
      </c>
      <c r="N99" s="535" t="s">
        <v>431</v>
      </c>
      <c r="O99" s="533" t="s">
        <v>503</v>
      </c>
      <c r="P99" s="531" t="s">
        <v>5</v>
      </c>
      <c r="Q99" s="535" t="s">
        <v>431</v>
      </c>
      <c r="R99" s="533" t="s">
        <v>503</v>
      </c>
      <c r="S99" s="531" t="s">
        <v>5</v>
      </c>
      <c r="T99" s="535" t="s">
        <v>431</v>
      </c>
      <c r="U99" s="533" t="s">
        <v>503</v>
      </c>
      <c r="V99" s="531" t="s">
        <v>5</v>
      </c>
      <c r="W99" s="535" t="s">
        <v>431</v>
      </c>
      <c r="X99" s="533" t="s">
        <v>503</v>
      </c>
      <c r="Y99" s="531" t="s">
        <v>5</v>
      </c>
      <c r="Z99" s="698" t="s">
        <v>431</v>
      </c>
      <c r="AA99" s="697" t="s">
        <v>503</v>
      </c>
      <c r="AB99" s="531" t="s">
        <v>5</v>
      </c>
      <c r="AC99" s="535" t="s">
        <v>431</v>
      </c>
      <c r="AD99" s="533" t="s">
        <v>503</v>
      </c>
      <c r="AE99" s="531" t="s">
        <v>5</v>
      </c>
      <c r="AF99" s="535" t="s">
        <v>431</v>
      </c>
      <c r="AG99" s="533" t="s">
        <v>503</v>
      </c>
      <c r="AH99" s="531" t="s">
        <v>5</v>
      </c>
    </row>
    <row r="100" spans="1:34">
      <c r="A100" s="7"/>
      <c r="B100" s="81" t="s">
        <v>46</v>
      </c>
      <c r="C100" s="62">
        <v>7375</v>
      </c>
      <c r="D100" s="62">
        <v>6421</v>
      </c>
      <c r="E100" s="62">
        <v>6769</v>
      </c>
      <c r="F100" s="62">
        <v>7736</v>
      </c>
      <c r="G100" s="62">
        <v>7568</v>
      </c>
      <c r="H100" s="634">
        <v>631</v>
      </c>
      <c r="I100" s="584">
        <v>625</v>
      </c>
      <c r="J100" s="433">
        <f>ROUND(((I100/H100-1)*100), 1)</f>
        <v>-1</v>
      </c>
      <c r="K100" s="269">
        <f t="shared" ref="K100:L104" si="155">N100-H100</f>
        <v>426</v>
      </c>
      <c r="L100" s="365">
        <f t="shared" si="155"/>
        <v>457</v>
      </c>
      <c r="M100" s="433">
        <f>ROUND(((L100/K100-1)*100), 1)</f>
        <v>7.3</v>
      </c>
      <c r="N100" s="584">
        <v>1057</v>
      </c>
      <c r="O100" s="584">
        <v>1082</v>
      </c>
      <c r="P100" s="433">
        <f t="shared" ref="P100:P105" si="156">ROUND(((O100/N100-1)*100), 1)</f>
        <v>2.4</v>
      </c>
      <c r="Q100" s="269">
        <f t="shared" ref="Q100:R104" si="157">T100-N100</f>
        <v>458</v>
      </c>
      <c r="R100" s="365">
        <f t="shared" si="157"/>
        <v>781</v>
      </c>
      <c r="S100" s="433">
        <f>ROUND(((R100/Q100-1)*100), 1)</f>
        <v>70.5</v>
      </c>
      <c r="T100" s="709">
        <v>1515</v>
      </c>
      <c r="U100" s="584">
        <v>1863</v>
      </c>
      <c r="V100" s="433">
        <f>ROUND(((U100/T100-1)*100), 1)</f>
        <v>23</v>
      </c>
      <c r="W100" s="269">
        <f t="shared" ref="W100:X104" si="158">Z100-T100</f>
        <v>607</v>
      </c>
      <c r="X100" s="365">
        <f t="shared" si="158"/>
        <v>648</v>
      </c>
      <c r="Y100" s="433">
        <f>ROUND(((X100/W100-1)*100), 1)</f>
        <v>6.8</v>
      </c>
      <c r="Z100" s="718">
        <v>2122</v>
      </c>
      <c r="AA100" s="634">
        <v>2511</v>
      </c>
      <c r="AB100" s="433">
        <f>ROUND(((AA100/Z100-1)*100), 1)</f>
        <v>18.3</v>
      </c>
      <c r="AC100" s="269">
        <f t="shared" ref="AC100:AD103" si="159">AF100-Z100</f>
        <v>653</v>
      </c>
      <c r="AD100" s="365">
        <f t="shared" si="159"/>
        <v>850</v>
      </c>
      <c r="AE100" s="433">
        <f>ROUND(((AD100/AC100-1)*100), 1)</f>
        <v>30.2</v>
      </c>
      <c r="AF100" s="709">
        <v>2775</v>
      </c>
      <c r="AG100" s="584">
        <v>3361</v>
      </c>
      <c r="AH100" s="433">
        <f>ROUND(((AG100/AF100-1)*100), 1)</f>
        <v>21.1</v>
      </c>
    </row>
    <row r="101" spans="1:34">
      <c r="A101" s="3" t="s">
        <v>114</v>
      </c>
      <c r="B101" s="39" t="s">
        <v>47</v>
      </c>
      <c r="C101" s="40">
        <v>2884</v>
      </c>
      <c r="D101" s="40">
        <v>2530</v>
      </c>
      <c r="E101" s="40">
        <v>2985</v>
      </c>
      <c r="F101" s="40">
        <v>3035</v>
      </c>
      <c r="G101" s="608">
        <v>3485</v>
      </c>
      <c r="H101" s="630">
        <v>247</v>
      </c>
      <c r="I101" s="589">
        <v>311</v>
      </c>
      <c r="J101" s="235">
        <f>ROUND(((I101/H101-1)*100), 1)</f>
        <v>25.9</v>
      </c>
      <c r="K101" s="270">
        <f t="shared" si="155"/>
        <v>263</v>
      </c>
      <c r="L101" s="366">
        <f t="shared" si="155"/>
        <v>323</v>
      </c>
      <c r="M101" s="235">
        <f>ROUND(((L101/K101-1)*100), 1)</f>
        <v>22.8</v>
      </c>
      <c r="N101" s="589">
        <v>510</v>
      </c>
      <c r="O101" s="589">
        <v>634</v>
      </c>
      <c r="P101" s="235">
        <f t="shared" si="156"/>
        <v>24.3</v>
      </c>
      <c r="Q101" s="270">
        <f t="shared" si="157"/>
        <v>276</v>
      </c>
      <c r="R101" s="366">
        <f t="shared" si="157"/>
        <v>353</v>
      </c>
      <c r="S101" s="235">
        <f>ROUND(((R101/Q101-1)*100), 1)</f>
        <v>27.9</v>
      </c>
      <c r="T101" s="710">
        <v>786</v>
      </c>
      <c r="U101" s="589">
        <v>987</v>
      </c>
      <c r="V101" s="235">
        <f>ROUND(((U101/T101-1)*100), 1)</f>
        <v>25.6</v>
      </c>
      <c r="W101" s="270">
        <f t="shared" si="158"/>
        <v>254</v>
      </c>
      <c r="X101" s="366">
        <f t="shared" si="158"/>
        <v>430</v>
      </c>
      <c r="Y101" s="235">
        <f>ROUND(((X101/W101-1)*100), 1)</f>
        <v>69.3</v>
      </c>
      <c r="Z101" s="719">
        <v>1040</v>
      </c>
      <c r="AA101" s="630">
        <v>1417</v>
      </c>
      <c r="AB101" s="235">
        <f>ROUND(((AA101/Z101-1)*100), 1)</f>
        <v>36.299999999999997</v>
      </c>
      <c r="AC101" s="270">
        <f t="shared" si="159"/>
        <v>210</v>
      </c>
      <c r="AD101" s="366">
        <f t="shared" si="159"/>
        <v>376</v>
      </c>
      <c r="AE101" s="235">
        <f>ROUND(((AD101/AC101-1)*100), 1)</f>
        <v>79</v>
      </c>
      <c r="AF101" s="710">
        <v>1250</v>
      </c>
      <c r="AG101" s="589">
        <v>1793</v>
      </c>
      <c r="AH101" s="235">
        <f>ROUND(((AG101/AF101-1)*100), 1)</f>
        <v>43.4</v>
      </c>
    </row>
    <row r="102" spans="1:34">
      <c r="A102" s="3"/>
      <c r="B102" s="39" t="s">
        <v>44</v>
      </c>
      <c r="C102" s="40">
        <v>6075</v>
      </c>
      <c r="D102" s="40">
        <v>8036</v>
      </c>
      <c r="E102" s="40">
        <v>5515</v>
      </c>
      <c r="F102" s="40">
        <v>7043</v>
      </c>
      <c r="G102" s="608">
        <v>2970</v>
      </c>
      <c r="H102" s="630">
        <v>115</v>
      </c>
      <c r="I102" s="589">
        <v>327</v>
      </c>
      <c r="J102" s="235">
        <f>ROUND(((I102/H102-1)*100), 1)</f>
        <v>184.3</v>
      </c>
      <c r="K102" s="270">
        <f t="shared" si="155"/>
        <v>135</v>
      </c>
      <c r="L102" s="366">
        <f t="shared" si="155"/>
        <v>412</v>
      </c>
      <c r="M102" s="235">
        <f>ROUND(((L102/K102-1)*100), 1)</f>
        <v>205.2</v>
      </c>
      <c r="N102" s="589">
        <v>250</v>
      </c>
      <c r="O102" s="589">
        <v>739</v>
      </c>
      <c r="P102" s="235">
        <f t="shared" si="156"/>
        <v>195.6</v>
      </c>
      <c r="Q102" s="270">
        <f t="shared" si="157"/>
        <v>307</v>
      </c>
      <c r="R102" s="366">
        <f t="shared" si="157"/>
        <v>180</v>
      </c>
      <c r="S102" s="235">
        <f>ROUND(((R102/Q102-1)*100), 1)</f>
        <v>-41.4</v>
      </c>
      <c r="T102" s="710">
        <v>557</v>
      </c>
      <c r="U102" s="589">
        <v>919</v>
      </c>
      <c r="V102" s="235">
        <f>ROUND(((U102/T102-1)*100), 1)</f>
        <v>65</v>
      </c>
      <c r="W102" s="270">
        <f t="shared" si="158"/>
        <v>172</v>
      </c>
      <c r="X102" s="366">
        <f t="shared" si="158"/>
        <v>130</v>
      </c>
      <c r="Y102" s="235">
        <f>ROUND(((X102/W102-1)*100), 1)</f>
        <v>-24.4</v>
      </c>
      <c r="Z102" s="719">
        <v>729</v>
      </c>
      <c r="AA102" s="630">
        <v>1049</v>
      </c>
      <c r="AB102" s="235">
        <f>ROUND(((AA102/Z102-1)*100), 1)</f>
        <v>43.9</v>
      </c>
      <c r="AC102" s="270">
        <f t="shared" si="159"/>
        <v>166</v>
      </c>
      <c r="AD102" s="366">
        <f t="shared" si="159"/>
        <v>246</v>
      </c>
      <c r="AE102" s="235">
        <f>ROUND(((AD102/AC102-1)*100), 1)</f>
        <v>48.2</v>
      </c>
      <c r="AF102" s="710">
        <v>895</v>
      </c>
      <c r="AG102" s="589">
        <v>1295</v>
      </c>
      <c r="AH102" s="235">
        <f>ROUND(((AG102/AF102-1)*100), 1)</f>
        <v>44.7</v>
      </c>
    </row>
    <row r="103" spans="1:34">
      <c r="A103" s="3"/>
      <c r="B103" s="39" t="s">
        <v>65</v>
      </c>
      <c r="C103" s="40">
        <v>1599</v>
      </c>
      <c r="D103" s="40">
        <v>3015</v>
      </c>
      <c r="E103" s="40">
        <v>2729</v>
      </c>
      <c r="F103" s="40">
        <v>2295</v>
      </c>
      <c r="G103" s="608">
        <v>2486</v>
      </c>
      <c r="H103" s="630">
        <v>191</v>
      </c>
      <c r="I103" s="589">
        <v>196</v>
      </c>
      <c r="J103" s="235">
        <f>ROUND(((I103/H103-1)*100), 1)</f>
        <v>2.6</v>
      </c>
      <c r="K103" s="270">
        <f t="shared" si="155"/>
        <v>189</v>
      </c>
      <c r="L103" s="366">
        <f t="shared" si="155"/>
        <v>188</v>
      </c>
      <c r="M103" s="235">
        <f>ROUND(((L103/K103-1)*100), 1)</f>
        <v>-0.5</v>
      </c>
      <c r="N103" s="589">
        <v>380</v>
      </c>
      <c r="O103" s="589">
        <v>384</v>
      </c>
      <c r="P103" s="235">
        <f t="shared" si="156"/>
        <v>1.1000000000000001</v>
      </c>
      <c r="Q103" s="270">
        <f t="shared" si="157"/>
        <v>214</v>
      </c>
      <c r="R103" s="366">
        <f t="shared" si="157"/>
        <v>219</v>
      </c>
      <c r="S103" s="235">
        <f>ROUND(((R103/Q103-1)*100), 1)</f>
        <v>2.2999999999999998</v>
      </c>
      <c r="T103" s="710">
        <v>594</v>
      </c>
      <c r="U103" s="589">
        <v>603</v>
      </c>
      <c r="V103" s="235">
        <f>ROUND(((U103/T103-1)*100), 1)</f>
        <v>1.5</v>
      </c>
      <c r="W103" s="270">
        <f t="shared" si="158"/>
        <v>123</v>
      </c>
      <c r="X103" s="366">
        <f t="shared" si="158"/>
        <v>80</v>
      </c>
      <c r="Y103" s="235">
        <f>ROUND(((X103/W103-1)*100), 1)</f>
        <v>-35</v>
      </c>
      <c r="Z103" s="719">
        <v>717</v>
      </c>
      <c r="AA103" s="630">
        <v>683</v>
      </c>
      <c r="AB103" s="235">
        <f>ROUND(((AA103/Z103-1)*100), 1)</f>
        <v>-4.7</v>
      </c>
      <c r="AC103" s="270">
        <f t="shared" si="159"/>
        <v>169</v>
      </c>
      <c r="AD103" s="366">
        <f t="shared" si="159"/>
        <v>263</v>
      </c>
      <c r="AE103" s="235">
        <f>ROUND(((AD103/AC103-1)*100), 1)</f>
        <v>55.6</v>
      </c>
      <c r="AF103" s="710">
        <v>886</v>
      </c>
      <c r="AG103" s="589">
        <v>946</v>
      </c>
      <c r="AH103" s="235">
        <f>ROUND(((AG103/AF103-1)*100), 1)</f>
        <v>6.8</v>
      </c>
    </row>
    <row r="104" spans="1:34">
      <c r="A104" s="3"/>
      <c r="B104" s="39" t="s">
        <v>94</v>
      </c>
      <c r="C104" s="40">
        <v>514</v>
      </c>
      <c r="D104" s="40">
        <v>151</v>
      </c>
      <c r="E104" s="40">
        <v>1876</v>
      </c>
      <c r="F104" s="40">
        <v>2350</v>
      </c>
      <c r="G104" s="608">
        <v>1329</v>
      </c>
      <c r="H104" s="630">
        <v>135</v>
      </c>
      <c r="I104" s="589">
        <v>107</v>
      </c>
      <c r="J104" s="571">
        <f t="shared" ref="J104:J122" si="160">ROUND(((I104/H104-1)*100), 1)</f>
        <v>-20.7</v>
      </c>
      <c r="K104" s="270">
        <f t="shared" si="155"/>
        <v>66</v>
      </c>
      <c r="L104" s="366">
        <f t="shared" si="155"/>
        <v>86</v>
      </c>
      <c r="M104" s="235">
        <f>ROUND(((L104/K104-1)*100), 1)</f>
        <v>30.3</v>
      </c>
      <c r="N104" s="589">
        <v>201</v>
      </c>
      <c r="O104" s="589">
        <v>193</v>
      </c>
      <c r="P104" s="235">
        <f t="shared" si="156"/>
        <v>-4</v>
      </c>
      <c r="Q104" s="270">
        <f t="shared" si="157"/>
        <v>198</v>
      </c>
      <c r="R104" s="366">
        <f t="shared" si="157"/>
        <v>130</v>
      </c>
      <c r="S104" s="235">
        <f>ROUND(((R104/Q104-1)*100), 1)</f>
        <v>-34.299999999999997</v>
      </c>
      <c r="T104" s="710">
        <v>399</v>
      </c>
      <c r="U104" s="589">
        <v>323</v>
      </c>
      <c r="V104" s="235">
        <f>ROUND(((U104/T104-1)*100), 1)</f>
        <v>-19</v>
      </c>
      <c r="W104" s="270">
        <f t="shared" si="158"/>
        <v>180</v>
      </c>
      <c r="X104" s="366">
        <f t="shared" si="158"/>
        <v>391</v>
      </c>
      <c r="Y104" s="235">
        <f>ROUND(((X104/W104-1)*100), 1)</f>
        <v>117.2</v>
      </c>
      <c r="Z104" s="719">
        <v>579</v>
      </c>
      <c r="AA104" s="630">
        <v>714</v>
      </c>
      <c r="AB104" s="571">
        <f t="shared" ref="AB104:AB121" si="161">ROUND(((AA104/Z104-1)*100), 1)</f>
        <v>23.3</v>
      </c>
      <c r="AC104" s="578">
        <f t="shared" ref="AC104:AC122" si="162">AF104-Z104</f>
        <v>94</v>
      </c>
      <c r="AD104" s="589">
        <f t="shared" ref="AD104:AD122" si="163">AG104-AA104</f>
        <v>123</v>
      </c>
      <c r="AE104" s="571">
        <f t="shared" ref="AE104:AE114" si="164">ROUND(((AD104/AC104-1)*100), 1)</f>
        <v>30.9</v>
      </c>
      <c r="AF104" s="710">
        <v>673</v>
      </c>
      <c r="AG104" s="589">
        <v>837</v>
      </c>
      <c r="AH104" s="235">
        <f>ROUND(((AG104/AF104-1)*100), 1)</f>
        <v>24.4</v>
      </c>
    </row>
    <row r="105" spans="1:34" s="605" customFormat="1">
      <c r="A105" s="675"/>
      <c r="B105" s="611" t="s">
        <v>562</v>
      </c>
      <c r="C105" s="608">
        <v>0</v>
      </c>
      <c r="D105" s="608">
        <v>63</v>
      </c>
      <c r="E105" s="608">
        <v>92</v>
      </c>
      <c r="F105" s="608">
        <v>5</v>
      </c>
      <c r="G105" s="608">
        <v>1137</v>
      </c>
      <c r="H105" s="630">
        <v>5</v>
      </c>
      <c r="I105" s="589">
        <v>40</v>
      </c>
      <c r="J105" s="571">
        <f t="shared" si="160"/>
        <v>700</v>
      </c>
      <c r="K105" s="578">
        <f t="shared" ref="K105" si="165">N105-H105</f>
        <v>0</v>
      </c>
      <c r="L105" s="589">
        <f t="shared" ref="L105" si="166">O105-I105</f>
        <v>0</v>
      </c>
      <c r="M105" s="579">
        <v>0</v>
      </c>
      <c r="N105" s="589">
        <v>5</v>
      </c>
      <c r="O105" s="589">
        <v>40</v>
      </c>
      <c r="P105" s="571">
        <f t="shared" si="156"/>
        <v>700</v>
      </c>
      <c r="Q105" s="578">
        <f t="shared" ref="Q105:Q123" si="167">T105-N105</f>
        <v>6</v>
      </c>
      <c r="R105" s="589">
        <f t="shared" ref="R105:R123" si="168">U105-O105</f>
        <v>0</v>
      </c>
      <c r="S105" s="571">
        <f t="shared" ref="S105:S123" si="169">ROUND(((R105/Q105-1)*100), 1)</f>
        <v>-100</v>
      </c>
      <c r="T105" s="710">
        <v>11</v>
      </c>
      <c r="U105" s="589">
        <v>40</v>
      </c>
      <c r="V105" s="571">
        <f t="shared" ref="V105:V121" si="170">ROUND(((U105/T105-1)*100), 1)</f>
        <v>263.60000000000002</v>
      </c>
      <c r="W105" s="578">
        <f t="shared" ref="W105:W122" si="171">Z105-T105</f>
        <v>0</v>
      </c>
      <c r="X105" s="589">
        <f t="shared" ref="X105:X122" si="172">AA105-U105</f>
        <v>0</v>
      </c>
      <c r="Y105" s="579">
        <v>0</v>
      </c>
      <c r="Z105" s="719">
        <v>11</v>
      </c>
      <c r="AA105" s="630">
        <v>40</v>
      </c>
      <c r="AB105" s="571">
        <f t="shared" si="161"/>
        <v>263.60000000000002</v>
      </c>
      <c r="AC105" s="578">
        <f t="shared" si="162"/>
        <v>69</v>
      </c>
      <c r="AD105" s="589">
        <f t="shared" si="163"/>
        <v>1</v>
      </c>
      <c r="AE105" s="571">
        <f t="shared" si="164"/>
        <v>-98.6</v>
      </c>
      <c r="AF105" s="710">
        <v>80</v>
      </c>
      <c r="AG105" s="589">
        <v>41</v>
      </c>
      <c r="AH105" s="571">
        <f t="shared" ref="AH105:AH121" si="173">ROUND(((AG105/AF105-1)*100), 1)</f>
        <v>-48.8</v>
      </c>
    </row>
    <row r="106" spans="1:34">
      <c r="A106" s="3"/>
      <c r="B106" s="39" t="s">
        <v>105</v>
      </c>
      <c r="C106" s="40">
        <v>138</v>
      </c>
      <c r="D106" s="40">
        <v>172</v>
      </c>
      <c r="E106" s="40">
        <v>424</v>
      </c>
      <c r="F106" s="40">
        <v>1707</v>
      </c>
      <c r="G106" s="608">
        <v>870</v>
      </c>
      <c r="H106" s="630">
        <v>143</v>
      </c>
      <c r="I106" s="589">
        <v>0</v>
      </c>
      <c r="J106" s="571">
        <f t="shared" si="160"/>
        <v>-100</v>
      </c>
      <c r="K106" s="270">
        <f t="shared" ref="K106:K116" si="174">N106-H106</f>
        <v>96</v>
      </c>
      <c r="L106" s="366">
        <f t="shared" ref="L106:L116" si="175">O106-I106</f>
        <v>10</v>
      </c>
      <c r="M106" s="235">
        <f t="shared" ref="M106:M120" si="176">ROUND(((L106/K106-1)*100), 1)</f>
        <v>-89.6</v>
      </c>
      <c r="N106" s="589">
        <v>239</v>
      </c>
      <c r="O106" s="589">
        <v>10</v>
      </c>
      <c r="P106" s="235">
        <f t="shared" ref="P106:P117" si="177">ROUND(((O106/N106-1)*100), 1)</f>
        <v>-95.8</v>
      </c>
      <c r="Q106" s="578">
        <f t="shared" si="167"/>
        <v>169</v>
      </c>
      <c r="R106" s="589">
        <f t="shared" si="168"/>
        <v>16</v>
      </c>
      <c r="S106" s="571">
        <f t="shared" si="169"/>
        <v>-90.5</v>
      </c>
      <c r="T106" s="710">
        <v>408</v>
      </c>
      <c r="U106" s="589">
        <v>26</v>
      </c>
      <c r="V106" s="571">
        <f t="shared" si="170"/>
        <v>-93.6</v>
      </c>
      <c r="W106" s="578">
        <f t="shared" si="171"/>
        <v>119</v>
      </c>
      <c r="X106" s="589">
        <f t="shared" si="172"/>
        <v>9</v>
      </c>
      <c r="Y106" s="571">
        <f t="shared" ref="Y106:Y122" si="178">ROUND(((X106/W106-1)*100), 1)</f>
        <v>-92.4</v>
      </c>
      <c r="Z106" s="719">
        <v>527</v>
      </c>
      <c r="AA106" s="630">
        <v>35</v>
      </c>
      <c r="AB106" s="571">
        <f t="shared" si="161"/>
        <v>-93.4</v>
      </c>
      <c r="AC106" s="578">
        <f t="shared" si="162"/>
        <v>69</v>
      </c>
      <c r="AD106" s="589">
        <f t="shared" si="163"/>
        <v>8</v>
      </c>
      <c r="AE106" s="571">
        <f t="shared" si="164"/>
        <v>-88.4</v>
      </c>
      <c r="AF106" s="710">
        <v>596</v>
      </c>
      <c r="AG106" s="589">
        <v>43</v>
      </c>
      <c r="AH106" s="571">
        <f t="shared" si="173"/>
        <v>-92.8</v>
      </c>
    </row>
    <row r="107" spans="1:34">
      <c r="A107" s="3"/>
      <c r="B107" s="39" t="s">
        <v>49</v>
      </c>
      <c r="C107" s="40">
        <v>268</v>
      </c>
      <c r="D107" s="40">
        <v>595</v>
      </c>
      <c r="E107" s="40">
        <v>234</v>
      </c>
      <c r="F107" s="40">
        <v>972</v>
      </c>
      <c r="G107" s="608">
        <v>858</v>
      </c>
      <c r="H107" s="630">
        <v>43</v>
      </c>
      <c r="I107" s="589">
        <v>95</v>
      </c>
      <c r="J107" s="571">
        <f t="shared" si="160"/>
        <v>120.9</v>
      </c>
      <c r="K107" s="270">
        <f t="shared" si="174"/>
        <v>258</v>
      </c>
      <c r="L107" s="366">
        <f t="shared" si="175"/>
        <v>110</v>
      </c>
      <c r="M107" s="235">
        <f t="shared" si="176"/>
        <v>-57.4</v>
      </c>
      <c r="N107" s="589">
        <v>301</v>
      </c>
      <c r="O107" s="589">
        <v>205</v>
      </c>
      <c r="P107" s="235">
        <f t="shared" si="177"/>
        <v>-31.9</v>
      </c>
      <c r="Q107" s="578">
        <f t="shared" si="167"/>
        <v>42</v>
      </c>
      <c r="R107" s="589">
        <f t="shared" si="168"/>
        <v>56</v>
      </c>
      <c r="S107" s="571">
        <f t="shared" si="169"/>
        <v>33.299999999999997</v>
      </c>
      <c r="T107" s="710">
        <v>343</v>
      </c>
      <c r="U107" s="589">
        <v>261</v>
      </c>
      <c r="V107" s="571">
        <f t="shared" si="170"/>
        <v>-23.9</v>
      </c>
      <c r="W107" s="578">
        <f t="shared" si="171"/>
        <v>75</v>
      </c>
      <c r="X107" s="589">
        <f t="shared" si="172"/>
        <v>21</v>
      </c>
      <c r="Y107" s="571">
        <f t="shared" si="178"/>
        <v>-72</v>
      </c>
      <c r="Z107" s="719">
        <v>418</v>
      </c>
      <c r="AA107" s="630">
        <v>282</v>
      </c>
      <c r="AB107" s="571">
        <f t="shared" si="161"/>
        <v>-32.5</v>
      </c>
      <c r="AC107" s="578">
        <f t="shared" si="162"/>
        <v>5</v>
      </c>
      <c r="AD107" s="589">
        <f t="shared" si="163"/>
        <v>0</v>
      </c>
      <c r="AE107" s="571">
        <f t="shared" si="164"/>
        <v>-100</v>
      </c>
      <c r="AF107" s="710">
        <v>423</v>
      </c>
      <c r="AG107" s="589">
        <v>282</v>
      </c>
      <c r="AH107" s="571">
        <f t="shared" si="173"/>
        <v>-33.299999999999997</v>
      </c>
    </row>
    <row r="108" spans="1:34">
      <c r="A108" s="3"/>
      <c r="B108" s="39" t="s">
        <v>43</v>
      </c>
      <c r="C108" s="40">
        <v>1368</v>
      </c>
      <c r="D108" s="40">
        <v>694</v>
      </c>
      <c r="E108" s="40">
        <v>4159</v>
      </c>
      <c r="F108" s="40">
        <v>2107</v>
      </c>
      <c r="G108" s="608">
        <v>735</v>
      </c>
      <c r="H108" s="630">
        <v>60</v>
      </c>
      <c r="I108" s="589">
        <v>34</v>
      </c>
      <c r="J108" s="571">
        <f t="shared" si="160"/>
        <v>-43.3</v>
      </c>
      <c r="K108" s="270">
        <f t="shared" si="174"/>
        <v>16</v>
      </c>
      <c r="L108" s="366">
        <f t="shared" si="175"/>
        <v>21</v>
      </c>
      <c r="M108" s="235">
        <f t="shared" si="176"/>
        <v>31.3</v>
      </c>
      <c r="N108" s="589">
        <v>76</v>
      </c>
      <c r="O108" s="589">
        <v>55</v>
      </c>
      <c r="P108" s="235">
        <f t="shared" si="177"/>
        <v>-27.6</v>
      </c>
      <c r="Q108" s="578">
        <f t="shared" si="167"/>
        <v>24</v>
      </c>
      <c r="R108" s="589">
        <f t="shared" si="168"/>
        <v>18</v>
      </c>
      <c r="S108" s="571">
        <f t="shared" si="169"/>
        <v>-25</v>
      </c>
      <c r="T108" s="710">
        <v>100</v>
      </c>
      <c r="U108" s="589">
        <v>73</v>
      </c>
      <c r="V108" s="571">
        <f t="shared" si="170"/>
        <v>-27</v>
      </c>
      <c r="W108" s="578">
        <f t="shared" si="171"/>
        <v>325</v>
      </c>
      <c r="X108" s="589">
        <f t="shared" si="172"/>
        <v>27</v>
      </c>
      <c r="Y108" s="571">
        <f t="shared" si="178"/>
        <v>-91.7</v>
      </c>
      <c r="Z108" s="719">
        <v>425</v>
      </c>
      <c r="AA108" s="630">
        <v>100</v>
      </c>
      <c r="AB108" s="571">
        <f t="shared" si="161"/>
        <v>-76.5</v>
      </c>
      <c r="AC108" s="578">
        <f t="shared" si="162"/>
        <v>144</v>
      </c>
      <c r="AD108" s="589">
        <f t="shared" si="163"/>
        <v>30</v>
      </c>
      <c r="AE108" s="571">
        <f t="shared" si="164"/>
        <v>-79.2</v>
      </c>
      <c r="AF108" s="710">
        <v>569</v>
      </c>
      <c r="AG108" s="589">
        <v>130</v>
      </c>
      <c r="AH108" s="571">
        <f t="shared" si="173"/>
        <v>-77.2</v>
      </c>
    </row>
    <row r="109" spans="1:34">
      <c r="A109" s="3"/>
      <c r="B109" s="39" t="s">
        <v>50</v>
      </c>
      <c r="C109" s="40">
        <v>100</v>
      </c>
      <c r="D109" s="40">
        <v>323</v>
      </c>
      <c r="E109" s="40">
        <v>1537</v>
      </c>
      <c r="F109" s="40">
        <v>206</v>
      </c>
      <c r="G109" s="608">
        <v>702</v>
      </c>
      <c r="H109" s="630">
        <v>6</v>
      </c>
      <c r="I109" s="589">
        <v>22</v>
      </c>
      <c r="J109" s="571">
        <f t="shared" si="160"/>
        <v>266.7</v>
      </c>
      <c r="K109" s="270">
        <f t="shared" si="174"/>
        <v>17</v>
      </c>
      <c r="L109" s="366">
        <f t="shared" si="175"/>
        <v>14</v>
      </c>
      <c r="M109" s="235">
        <f t="shared" si="176"/>
        <v>-17.600000000000001</v>
      </c>
      <c r="N109" s="589">
        <v>23</v>
      </c>
      <c r="O109" s="589">
        <v>36</v>
      </c>
      <c r="P109" s="235">
        <f t="shared" si="177"/>
        <v>56.5</v>
      </c>
      <c r="Q109" s="578">
        <f t="shared" si="167"/>
        <v>24</v>
      </c>
      <c r="R109" s="589">
        <f t="shared" si="168"/>
        <v>9</v>
      </c>
      <c r="S109" s="571">
        <f t="shared" si="169"/>
        <v>-62.5</v>
      </c>
      <c r="T109" s="710">
        <v>47</v>
      </c>
      <c r="U109" s="589">
        <v>45</v>
      </c>
      <c r="V109" s="571">
        <f t="shared" si="170"/>
        <v>-4.3</v>
      </c>
      <c r="W109" s="578">
        <f t="shared" si="171"/>
        <v>33</v>
      </c>
      <c r="X109" s="589">
        <f t="shared" si="172"/>
        <v>18</v>
      </c>
      <c r="Y109" s="571">
        <f t="shared" si="178"/>
        <v>-45.5</v>
      </c>
      <c r="Z109" s="719">
        <v>80</v>
      </c>
      <c r="AA109" s="630">
        <v>63</v>
      </c>
      <c r="AB109" s="571">
        <f t="shared" si="161"/>
        <v>-21.3</v>
      </c>
      <c r="AC109" s="578">
        <f t="shared" si="162"/>
        <v>87</v>
      </c>
      <c r="AD109" s="589">
        <f t="shared" si="163"/>
        <v>23</v>
      </c>
      <c r="AE109" s="571">
        <f t="shared" si="164"/>
        <v>-73.599999999999994</v>
      </c>
      <c r="AF109" s="710">
        <v>167</v>
      </c>
      <c r="AG109" s="589">
        <v>86</v>
      </c>
      <c r="AH109" s="571">
        <f t="shared" si="173"/>
        <v>-48.5</v>
      </c>
    </row>
    <row r="110" spans="1:34">
      <c r="A110" s="3"/>
      <c r="B110" s="39" t="s">
        <v>99</v>
      </c>
      <c r="C110" s="40">
        <v>325</v>
      </c>
      <c r="D110" s="40">
        <v>226</v>
      </c>
      <c r="E110" s="40">
        <v>604</v>
      </c>
      <c r="F110" s="40">
        <v>656</v>
      </c>
      <c r="G110" s="608">
        <v>555</v>
      </c>
      <c r="H110" s="630">
        <v>62</v>
      </c>
      <c r="I110" s="589">
        <v>24</v>
      </c>
      <c r="J110" s="571">
        <f t="shared" si="160"/>
        <v>-61.3</v>
      </c>
      <c r="K110" s="270">
        <f t="shared" si="174"/>
        <v>150</v>
      </c>
      <c r="L110" s="366">
        <f t="shared" si="175"/>
        <v>53</v>
      </c>
      <c r="M110" s="235">
        <f t="shared" si="176"/>
        <v>-64.7</v>
      </c>
      <c r="N110" s="589">
        <v>212</v>
      </c>
      <c r="O110" s="589">
        <v>77</v>
      </c>
      <c r="P110" s="235">
        <f t="shared" si="177"/>
        <v>-63.7</v>
      </c>
      <c r="Q110" s="578">
        <f t="shared" si="167"/>
        <v>125</v>
      </c>
      <c r="R110" s="589">
        <f t="shared" si="168"/>
        <v>29</v>
      </c>
      <c r="S110" s="571">
        <f t="shared" si="169"/>
        <v>-76.8</v>
      </c>
      <c r="T110" s="710">
        <v>337</v>
      </c>
      <c r="U110" s="589">
        <v>106</v>
      </c>
      <c r="V110" s="571">
        <f t="shared" si="170"/>
        <v>-68.5</v>
      </c>
      <c r="W110" s="578">
        <f t="shared" si="171"/>
        <v>24</v>
      </c>
      <c r="X110" s="589">
        <f t="shared" si="172"/>
        <v>19</v>
      </c>
      <c r="Y110" s="571">
        <f t="shared" si="178"/>
        <v>-20.8</v>
      </c>
      <c r="Z110" s="719">
        <v>361</v>
      </c>
      <c r="AA110" s="630">
        <v>125</v>
      </c>
      <c r="AB110" s="571">
        <f t="shared" si="161"/>
        <v>-65.400000000000006</v>
      </c>
      <c r="AC110" s="578">
        <f t="shared" si="162"/>
        <v>1</v>
      </c>
      <c r="AD110" s="589">
        <f t="shared" si="163"/>
        <v>4</v>
      </c>
      <c r="AE110" s="571">
        <f t="shared" si="164"/>
        <v>300</v>
      </c>
      <c r="AF110" s="710">
        <v>362</v>
      </c>
      <c r="AG110" s="589">
        <v>129</v>
      </c>
      <c r="AH110" s="571">
        <f t="shared" si="173"/>
        <v>-64.400000000000006</v>
      </c>
    </row>
    <row r="111" spans="1:34">
      <c r="A111" s="3"/>
      <c r="B111" s="39" t="s">
        <v>240</v>
      </c>
      <c r="C111" s="40">
        <v>105</v>
      </c>
      <c r="D111" s="40">
        <v>115</v>
      </c>
      <c r="E111" s="40">
        <v>53</v>
      </c>
      <c r="F111" s="40">
        <v>269</v>
      </c>
      <c r="G111" s="608">
        <v>531</v>
      </c>
      <c r="H111" s="630">
        <v>1</v>
      </c>
      <c r="I111" s="589">
        <v>0</v>
      </c>
      <c r="J111" s="571">
        <f t="shared" si="160"/>
        <v>-100</v>
      </c>
      <c r="K111" s="270">
        <f t="shared" si="174"/>
        <v>11</v>
      </c>
      <c r="L111" s="366">
        <f t="shared" si="175"/>
        <v>5</v>
      </c>
      <c r="M111" s="235">
        <f t="shared" si="176"/>
        <v>-54.5</v>
      </c>
      <c r="N111" s="589">
        <v>12</v>
      </c>
      <c r="O111" s="589">
        <v>5</v>
      </c>
      <c r="P111" s="235">
        <f t="shared" si="177"/>
        <v>-58.3</v>
      </c>
      <c r="Q111" s="578">
        <f t="shared" si="167"/>
        <v>302</v>
      </c>
      <c r="R111" s="589">
        <f t="shared" si="168"/>
        <v>22</v>
      </c>
      <c r="S111" s="571">
        <f t="shared" si="169"/>
        <v>-92.7</v>
      </c>
      <c r="T111" s="710">
        <v>314</v>
      </c>
      <c r="U111" s="589">
        <v>27</v>
      </c>
      <c r="V111" s="571">
        <f t="shared" si="170"/>
        <v>-91.4</v>
      </c>
      <c r="W111" s="578">
        <f t="shared" si="171"/>
        <v>141</v>
      </c>
      <c r="X111" s="589">
        <f t="shared" si="172"/>
        <v>196</v>
      </c>
      <c r="Y111" s="571">
        <f t="shared" si="178"/>
        <v>39</v>
      </c>
      <c r="Z111" s="719">
        <v>455</v>
      </c>
      <c r="AA111" s="630">
        <v>223</v>
      </c>
      <c r="AB111" s="571">
        <f t="shared" si="161"/>
        <v>-51</v>
      </c>
      <c r="AC111" s="578">
        <f t="shared" si="162"/>
        <v>32</v>
      </c>
      <c r="AD111" s="589">
        <f t="shared" si="163"/>
        <v>7</v>
      </c>
      <c r="AE111" s="571">
        <f t="shared" si="164"/>
        <v>-78.099999999999994</v>
      </c>
      <c r="AF111" s="710">
        <v>487</v>
      </c>
      <c r="AG111" s="589">
        <v>230</v>
      </c>
      <c r="AH111" s="571">
        <f t="shared" si="173"/>
        <v>-52.8</v>
      </c>
    </row>
    <row r="112" spans="1:34">
      <c r="A112" s="3"/>
      <c r="B112" s="39" t="s">
        <v>52</v>
      </c>
      <c r="C112" s="40">
        <v>398</v>
      </c>
      <c r="D112" s="40">
        <v>445</v>
      </c>
      <c r="E112" s="40">
        <v>491</v>
      </c>
      <c r="F112" s="40">
        <v>1317</v>
      </c>
      <c r="G112" s="608">
        <v>505</v>
      </c>
      <c r="H112" s="630">
        <v>15</v>
      </c>
      <c r="I112" s="589">
        <v>21</v>
      </c>
      <c r="J112" s="571">
        <f t="shared" si="160"/>
        <v>40</v>
      </c>
      <c r="K112" s="270">
        <f t="shared" si="174"/>
        <v>318</v>
      </c>
      <c r="L112" s="366">
        <f t="shared" si="175"/>
        <v>3</v>
      </c>
      <c r="M112" s="235">
        <f t="shared" si="176"/>
        <v>-99.1</v>
      </c>
      <c r="N112" s="589">
        <v>333</v>
      </c>
      <c r="O112" s="589">
        <v>24</v>
      </c>
      <c r="P112" s="235">
        <f t="shared" si="177"/>
        <v>-92.8</v>
      </c>
      <c r="Q112" s="578">
        <f t="shared" si="167"/>
        <v>27</v>
      </c>
      <c r="R112" s="589">
        <f t="shared" si="168"/>
        <v>13</v>
      </c>
      <c r="S112" s="571">
        <f t="shared" si="169"/>
        <v>-51.9</v>
      </c>
      <c r="T112" s="710">
        <v>360</v>
      </c>
      <c r="U112" s="589">
        <v>37</v>
      </c>
      <c r="V112" s="571">
        <f t="shared" si="170"/>
        <v>-89.7</v>
      </c>
      <c r="W112" s="578">
        <f t="shared" si="171"/>
        <v>3</v>
      </c>
      <c r="X112" s="589">
        <f t="shared" si="172"/>
        <v>6</v>
      </c>
      <c r="Y112" s="571">
        <f t="shared" si="178"/>
        <v>100</v>
      </c>
      <c r="Z112" s="719">
        <v>363</v>
      </c>
      <c r="AA112" s="630">
        <v>43</v>
      </c>
      <c r="AB112" s="571">
        <f t="shared" si="161"/>
        <v>-88.2</v>
      </c>
      <c r="AC112" s="578">
        <f t="shared" si="162"/>
        <v>5</v>
      </c>
      <c r="AD112" s="589">
        <f t="shared" si="163"/>
        <v>37</v>
      </c>
      <c r="AE112" s="571">
        <f t="shared" si="164"/>
        <v>640</v>
      </c>
      <c r="AF112" s="710">
        <v>368</v>
      </c>
      <c r="AG112" s="589">
        <v>80</v>
      </c>
      <c r="AH112" s="571">
        <f t="shared" si="173"/>
        <v>-78.3</v>
      </c>
    </row>
    <row r="113" spans="1:34">
      <c r="A113" s="3"/>
      <c r="B113" s="39" t="s">
        <v>45</v>
      </c>
      <c r="C113" s="40">
        <v>882</v>
      </c>
      <c r="D113" s="40">
        <v>3784</v>
      </c>
      <c r="E113" s="40">
        <v>20223</v>
      </c>
      <c r="F113" s="40">
        <v>5453</v>
      </c>
      <c r="G113" s="608">
        <v>385</v>
      </c>
      <c r="H113" s="630">
        <v>148</v>
      </c>
      <c r="I113" s="589">
        <v>36</v>
      </c>
      <c r="J113" s="571">
        <f t="shared" si="160"/>
        <v>-75.7</v>
      </c>
      <c r="K113" s="270">
        <f t="shared" si="174"/>
        <v>8</v>
      </c>
      <c r="L113" s="366">
        <f t="shared" si="175"/>
        <v>1</v>
      </c>
      <c r="M113" s="571">
        <f t="shared" si="176"/>
        <v>-87.5</v>
      </c>
      <c r="N113" s="589">
        <v>156</v>
      </c>
      <c r="O113" s="589">
        <v>37</v>
      </c>
      <c r="P113" s="571">
        <f t="shared" si="177"/>
        <v>-76.3</v>
      </c>
      <c r="Q113" s="578">
        <f t="shared" si="167"/>
        <v>30</v>
      </c>
      <c r="R113" s="589">
        <f t="shared" si="168"/>
        <v>72</v>
      </c>
      <c r="S113" s="571">
        <f t="shared" si="169"/>
        <v>140</v>
      </c>
      <c r="T113" s="710">
        <v>186</v>
      </c>
      <c r="U113" s="589">
        <v>109</v>
      </c>
      <c r="V113" s="571">
        <f t="shared" si="170"/>
        <v>-41.4</v>
      </c>
      <c r="W113" s="578">
        <f t="shared" si="171"/>
        <v>42</v>
      </c>
      <c r="X113" s="589">
        <f t="shared" si="172"/>
        <v>0</v>
      </c>
      <c r="Y113" s="571">
        <f t="shared" si="178"/>
        <v>-100</v>
      </c>
      <c r="Z113" s="719">
        <v>228</v>
      </c>
      <c r="AA113" s="630">
        <v>109</v>
      </c>
      <c r="AB113" s="571">
        <f t="shared" si="161"/>
        <v>-52.2</v>
      </c>
      <c r="AC113" s="578">
        <f t="shared" si="162"/>
        <v>1</v>
      </c>
      <c r="AD113" s="589">
        <f t="shared" si="163"/>
        <v>1</v>
      </c>
      <c r="AE113" s="571">
        <f t="shared" si="164"/>
        <v>0</v>
      </c>
      <c r="AF113" s="710">
        <v>229</v>
      </c>
      <c r="AG113" s="589">
        <v>110</v>
      </c>
      <c r="AH113" s="571">
        <f t="shared" si="173"/>
        <v>-52</v>
      </c>
    </row>
    <row r="114" spans="1:34" s="167" customFormat="1">
      <c r="A114" s="309"/>
      <c r="B114" s="611" t="s">
        <v>96</v>
      </c>
      <c r="C114" s="608">
        <v>112</v>
      </c>
      <c r="D114" s="608">
        <v>86</v>
      </c>
      <c r="E114" s="608">
        <v>1017</v>
      </c>
      <c r="F114" s="608">
        <v>1852</v>
      </c>
      <c r="G114" s="608">
        <v>385</v>
      </c>
      <c r="H114" s="630">
        <v>4</v>
      </c>
      <c r="I114" s="589">
        <v>17</v>
      </c>
      <c r="J114" s="571">
        <f t="shared" si="160"/>
        <v>325</v>
      </c>
      <c r="K114" s="578">
        <f t="shared" si="174"/>
        <v>29</v>
      </c>
      <c r="L114" s="589">
        <f t="shared" si="175"/>
        <v>25</v>
      </c>
      <c r="M114" s="571">
        <f t="shared" si="176"/>
        <v>-13.8</v>
      </c>
      <c r="N114" s="589">
        <v>33</v>
      </c>
      <c r="O114" s="589">
        <v>42</v>
      </c>
      <c r="P114" s="571">
        <f t="shared" si="177"/>
        <v>27.3</v>
      </c>
      <c r="Q114" s="578">
        <f t="shared" si="167"/>
        <v>29</v>
      </c>
      <c r="R114" s="589">
        <f t="shared" si="168"/>
        <v>39</v>
      </c>
      <c r="S114" s="571">
        <f t="shared" si="169"/>
        <v>34.5</v>
      </c>
      <c r="T114" s="710">
        <v>62</v>
      </c>
      <c r="U114" s="589">
        <v>81</v>
      </c>
      <c r="V114" s="571">
        <f t="shared" si="170"/>
        <v>30.6</v>
      </c>
      <c r="W114" s="578">
        <f t="shared" si="171"/>
        <v>16</v>
      </c>
      <c r="X114" s="589">
        <f t="shared" si="172"/>
        <v>10</v>
      </c>
      <c r="Y114" s="571">
        <f t="shared" si="178"/>
        <v>-37.5</v>
      </c>
      <c r="Z114" s="719">
        <v>78</v>
      </c>
      <c r="AA114" s="630">
        <v>91</v>
      </c>
      <c r="AB114" s="571">
        <f t="shared" si="161"/>
        <v>16.7</v>
      </c>
      <c r="AC114" s="578">
        <f t="shared" si="162"/>
        <v>103</v>
      </c>
      <c r="AD114" s="589">
        <f t="shared" si="163"/>
        <v>1</v>
      </c>
      <c r="AE114" s="571">
        <f t="shared" si="164"/>
        <v>-99</v>
      </c>
      <c r="AF114" s="710">
        <v>181</v>
      </c>
      <c r="AG114" s="589">
        <v>92</v>
      </c>
      <c r="AH114" s="571">
        <f t="shared" si="173"/>
        <v>-49.2</v>
      </c>
    </row>
    <row r="115" spans="1:34">
      <c r="A115" s="3"/>
      <c r="B115" s="39" t="s">
        <v>95</v>
      </c>
      <c r="C115" s="40">
        <v>164</v>
      </c>
      <c r="D115" s="40">
        <v>195</v>
      </c>
      <c r="E115" s="40">
        <v>86</v>
      </c>
      <c r="F115" s="40">
        <v>83</v>
      </c>
      <c r="G115" s="608">
        <v>355</v>
      </c>
      <c r="H115" s="630">
        <v>0</v>
      </c>
      <c r="I115" s="589">
        <v>143</v>
      </c>
      <c r="J115" s="579">
        <v>0</v>
      </c>
      <c r="K115" s="270">
        <f t="shared" si="174"/>
        <v>19</v>
      </c>
      <c r="L115" s="366">
        <f t="shared" si="175"/>
        <v>47</v>
      </c>
      <c r="M115" s="571">
        <f t="shared" si="176"/>
        <v>147.4</v>
      </c>
      <c r="N115" s="589">
        <v>19</v>
      </c>
      <c r="O115" s="589">
        <v>190</v>
      </c>
      <c r="P115" s="235">
        <f t="shared" si="177"/>
        <v>900</v>
      </c>
      <c r="Q115" s="578">
        <f t="shared" si="167"/>
        <v>34</v>
      </c>
      <c r="R115" s="589">
        <f t="shared" si="168"/>
        <v>0</v>
      </c>
      <c r="S115" s="571">
        <f t="shared" si="169"/>
        <v>-100</v>
      </c>
      <c r="T115" s="710">
        <v>53</v>
      </c>
      <c r="U115" s="589">
        <v>190</v>
      </c>
      <c r="V115" s="571">
        <f t="shared" si="170"/>
        <v>258.5</v>
      </c>
      <c r="W115" s="578">
        <f t="shared" si="171"/>
        <v>0</v>
      </c>
      <c r="X115" s="589">
        <f t="shared" si="172"/>
        <v>17</v>
      </c>
      <c r="Y115" s="579">
        <v>0</v>
      </c>
      <c r="Z115" s="719">
        <v>53</v>
      </c>
      <c r="AA115" s="630">
        <v>207</v>
      </c>
      <c r="AB115" s="571">
        <f t="shared" si="161"/>
        <v>290.60000000000002</v>
      </c>
      <c r="AC115" s="578">
        <f t="shared" si="162"/>
        <v>0</v>
      </c>
      <c r="AD115" s="589">
        <f t="shared" si="163"/>
        <v>0</v>
      </c>
      <c r="AE115" s="579">
        <v>0</v>
      </c>
      <c r="AF115" s="710">
        <v>53</v>
      </c>
      <c r="AG115" s="589">
        <v>207</v>
      </c>
      <c r="AH115" s="571">
        <f t="shared" si="173"/>
        <v>290.60000000000002</v>
      </c>
    </row>
    <row r="116" spans="1:34">
      <c r="A116" s="3"/>
      <c r="B116" s="39" t="s">
        <v>136</v>
      </c>
      <c r="C116" s="40">
        <v>653</v>
      </c>
      <c r="D116" s="40">
        <v>612</v>
      </c>
      <c r="E116" s="40">
        <v>339</v>
      </c>
      <c r="F116" s="40">
        <v>528</v>
      </c>
      <c r="G116" s="608">
        <v>258</v>
      </c>
      <c r="H116" s="630">
        <v>0</v>
      </c>
      <c r="I116" s="589">
        <v>42</v>
      </c>
      <c r="J116" s="579">
        <v>0</v>
      </c>
      <c r="K116" s="270">
        <f t="shared" si="174"/>
        <v>83</v>
      </c>
      <c r="L116" s="366">
        <f t="shared" si="175"/>
        <v>35</v>
      </c>
      <c r="M116" s="571">
        <f t="shared" si="176"/>
        <v>-57.8</v>
      </c>
      <c r="N116" s="589">
        <v>83</v>
      </c>
      <c r="O116" s="589">
        <v>77</v>
      </c>
      <c r="P116" s="571">
        <f t="shared" si="177"/>
        <v>-7.2</v>
      </c>
      <c r="Q116" s="578">
        <f t="shared" si="167"/>
        <v>34</v>
      </c>
      <c r="R116" s="589">
        <f t="shared" si="168"/>
        <v>17</v>
      </c>
      <c r="S116" s="571">
        <f t="shared" si="169"/>
        <v>-50</v>
      </c>
      <c r="T116" s="710">
        <v>117</v>
      </c>
      <c r="U116" s="589">
        <v>94</v>
      </c>
      <c r="V116" s="571">
        <f t="shared" si="170"/>
        <v>-19.7</v>
      </c>
      <c r="W116" s="578">
        <f t="shared" si="171"/>
        <v>28</v>
      </c>
      <c r="X116" s="589">
        <f t="shared" si="172"/>
        <v>0</v>
      </c>
      <c r="Y116" s="571">
        <f t="shared" si="178"/>
        <v>-100</v>
      </c>
      <c r="Z116" s="719">
        <v>145</v>
      </c>
      <c r="AA116" s="630">
        <v>94</v>
      </c>
      <c r="AB116" s="571">
        <f t="shared" si="161"/>
        <v>-35.200000000000003</v>
      </c>
      <c r="AC116" s="578">
        <f t="shared" si="162"/>
        <v>0</v>
      </c>
      <c r="AD116" s="589">
        <f t="shared" si="163"/>
        <v>0</v>
      </c>
      <c r="AE116" s="579">
        <v>0</v>
      </c>
      <c r="AF116" s="710">
        <v>145</v>
      </c>
      <c r="AG116" s="589">
        <v>94</v>
      </c>
      <c r="AH116" s="571">
        <f t="shared" si="173"/>
        <v>-35.200000000000003</v>
      </c>
    </row>
    <row r="117" spans="1:34" s="605" customFormat="1">
      <c r="A117" s="675"/>
      <c r="B117" s="611" t="s">
        <v>563</v>
      </c>
      <c r="C117" s="608">
        <v>9</v>
      </c>
      <c r="D117" s="608">
        <v>66</v>
      </c>
      <c r="E117" s="608">
        <v>136</v>
      </c>
      <c r="F117" s="608">
        <v>109</v>
      </c>
      <c r="G117" s="608">
        <v>177</v>
      </c>
      <c r="H117" s="630">
        <v>0</v>
      </c>
      <c r="I117" s="589">
        <v>0</v>
      </c>
      <c r="J117" s="579">
        <v>0</v>
      </c>
      <c r="K117" s="578">
        <f t="shared" ref="K117" si="179">N117-H117</f>
        <v>51</v>
      </c>
      <c r="L117" s="589">
        <f t="shared" ref="L117" si="180">O117-I117</f>
        <v>0</v>
      </c>
      <c r="M117" s="571">
        <f t="shared" ref="M117" si="181">ROUND(((L117/K117-1)*100), 1)</f>
        <v>-100</v>
      </c>
      <c r="N117" s="589">
        <v>51</v>
      </c>
      <c r="O117" s="589">
        <v>0</v>
      </c>
      <c r="P117" s="571">
        <f t="shared" si="177"/>
        <v>-100</v>
      </c>
      <c r="Q117" s="578">
        <f t="shared" si="167"/>
        <v>8</v>
      </c>
      <c r="R117" s="589">
        <f t="shared" si="168"/>
        <v>0</v>
      </c>
      <c r="S117" s="571">
        <f t="shared" si="169"/>
        <v>-100</v>
      </c>
      <c r="T117" s="710">
        <v>59</v>
      </c>
      <c r="U117" s="589">
        <v>0</v>
      </c>
      <c r="V117" s="571">
        <f t="shared" si="170"/>
        <v>-100</v>
      </c>
      <c r="W117" s="578">
        <f t="shared" si="171"/>
        <v>30</v>
      </c>
      <c r="X117" s="589">
        <f t="shared" si="172"/>
        <v>36</v>
      </c>
      <c r="Y117" s="571">
        <f t="shared" si="178"/>
        <v>20</v>
      </c>
      <c r="Z117" s="719">
        <v>89</v>
      </c>
      <c r="AA117" s="630">
        <v>36</v>
      </c>
      <c r="AB117" s="571">
        <f t="shared" si="161"/>
        <v>-59.6</v>
      </c>
      <c r="AC117" s="578">
        <f t="shared" si="162"/>
        <v>0</v>
      </c>
      <c r="AD117" s="589">
        <f t="shared" si="163"/>
        <v>0</v>
      </c>
      <c r="AE117" s="579">
        <v>0</v>
      </c>
      <c r="AF117" s="710">
        <v>89</v>
      </c>
      <c r="AG117" s="589">
        <v>36</v>
      </c>
      <c r="AH117" s="571">
        <f t="shared" si="173"/>
        <v>-59.6</v>
      </c>
    </row>
    <row r="118" spans="1:34">
      <c r="A118" s="3"/>
      <c r="B118" s="39" t="s">
        <v>239</v>
      </c>
      <c r="C118" s="40">
        <v>249</v>
      </c>
      <c r="D118" s="40">
        <v>152</v>
      </c>
      <c r="E118" s="40">
        <v>402</v>
      </c>
      <c r="F118" s="40">
        <v>118</v>
      </c>
      <c r="G118" s="608">
        <v>101</v>
      </c>
      <c r="H118" s="630">
        <v>18</v>
      </c>
      <c r="I118" s="589">
        <v>0</v>
      </c>
      <c r="J118" s="571">
        <f t="shared" si="160"/>
        <v>-100</v>
      </c>
      <c r="K118" s="270">
        <f t="shared" ref="K118:L124" si="182">N118-H118</f>
        <v>2</v>
      </c>
      <c r="L118" s="366">
        <f t="shared" si="182"/>
        <v>0</v>
      </c>
      <c r="M118" s="571">
        <f t="shared" si="176"/>
        <v>-100</v>
      </c>
      <c r="N118" s="589">
        <v>20</v>
      </c>
      <c r="O118" s="589">
        <v>0</v>
      </c>
      <c r="P118" s="235">
        <f>ROUND(((O118/N118-1)*100), 1)</f>
        <v>-100</v>
      </c>
      <c r="Q118" s="578">
        <f t="shared" si="167"/>
        <v>0</v>
      </c>
      <c r="R118" s="589">
        <f t="shared" si="168"/>
        <v>1</v>
      </c>
      <c r="S118" s="579">
        <v>0</v>
      </c>
      <c r="T118" s="710">
        <v>20</v>
      </c>
      <c r="U118" s="589">
        <v>1</v>
      </c>
      <c r="V118" s="571">
        <f t="shared" si="170"/>
        <v>-95</v>
      </c>
      <c r="W118" s="578">
        <f t="shared" si="171"/>
        <v>0</v>
      </c>
      <c r="X118" s="589">
        <f t="shared" si="172"/>
        <v>12</v>
      </c>
      <c r="Y118" s="579">
        <v>0</v>
      </c>
      <c r="Z118" s="719">
        <v>20</v>
      </c>
      <c r="AA118" s="630">
        <v>13</v>
      </c>
      <c r="AB118" s="571">
        <f t="shared" si="161"/>
        <v>-35</v>
      </c>
      <c r="AC118" s="578">
        <f t="shared" si="162"/>
        <v>0</v>
      </c>
      <c r="AD118" s="589">
        <f t="shared" si="163"/>
        <v>15</v>
      </c>
      <c r="AE118" s="579">
        <v>0</v>
      </c>
      <c r="AF118" s="710">
        <v>20</v>
      </c>
      <c r="AG118" s="589">
        <v>28</v>
      </c>
      <c r="AH118" s="571">
        <f t="shared" si="173"/>
        <v>40</v>
      </c>
    </row>
    <row r="119" spans="1:34">
      <c r="A119" s="3"/>
      <c r="B119" s="39" t="s">
        <v>228</v>
      </c>
      <c r="C119" s="40">
        <v>192</v>
      </c>
      <c r="D119" s="40">
        <v>33</v>
      </c>
      <c r="E119" s="40">
        <v>317</v>
      </c>
      <c r="F119" s="40">
        <v>137</v>
      </c>
      <c r="G119" s="608">
        <v>94</v>
      </c>
      <c r="H119" s="630">
        <v>31</v>
      </c>
      <c r="I119" s="589">
        <v>0</v>
      </c>
      <c r="J119" s="571">
        <f t="shared" si="160"/>
        <v>-100</v>
      </c>
      <c r="K119" s="270">
        <f t="shared" si="182"/>
        <v>0</v>
      </c>
      <c r="L119" s="366">
        <f t="shared" si="182"/>
        <v>0</v>
      </c>
      <c r="M119" s="570">
        <v>0</v>
      </c>
      <c r="N119" s="589">
        <v>31</v>
      </c>
      <c r="O119" s="589">
        <v>0</v>
      </c>
      <c r="P119" s="235">
        <f>ROUND(((O119/N119-1)*100), 1)</f>
        <v>-100</v>
      </c>
      <c r="Q119" s="578">
        <f t="shared" si="167"/>
        <v>0</v>
      </c>
      <c r="R119" s="589">
        <f t="shared" si="168"/>
        <v>0</v>
      </c>
      <c r="S119" s="579">
        <v>0</v>
      </c>
      <c r="T119" s="710">
        <v>31</v>
      </c>
      <c r="U119" s="589">
        <v>0</v>
      </c>
      <c r="V119" s="571">
        <f t="shared" si="170"/>
        <v>-100</v>
      </c>
      <c r="W119" s="578">
        <f t="shared" si="171"/>
        <v>0</v>
      </c>
      <c r="X119" s="589">
        <f t="shared" si="172"/>
        <v>7</v>
      </c>
      <c r="Y119" s="579">
        <v>0</v>
      </c>
      <c r="Z119" s="719">
        <v>31</v>
      </c>
      <c r="AA119" s="630">
        <v>7</v>
      </c>
      <c r="AB119" s="571">
        <f t="shared" si="161"/>
        <v>-77.400000000000006</v>
      </c>
      <c r="AC119" s="578">
        <f t="shared" si="162"/>
        <v>0</v>
      </c>
      <c r="AD119" s="589">
        <f t="shared" si="163"/>
        <v>23</v>
      </c>
      <c r="AE119" s="579">
        <v>0</v>
      </c>
      <c r="AF119" s="710">
        <v>31</v>
      </c>
      <c r="AG119" s="589">
        <v>30</v>
      </c>
      <c r="AH119" s="571">
        <f t="shared" si="173"/>
        <v>-3.2</v>
      </c>
    </row>
    <row r="120" spans="1:34">
      <c r="A120" s="3"/>
      <c r="B120" s="610" t="s">
        <v>450</v>
      </c>
      <c r="C120" s="324">
        <v>0</v>
      </c>
      <c r="D120" s="324">
        <v>0</v>
      </c>
      <c r="E120" s="324">
        <v>0</v>
      </c>
      <c r="F120" s="324">
        <v>303</v>
      </c>
      <c r="G120" s="608">
        <v>79</v>
      </c>
      <c r="H120" s="635">
        <v>0</v>
      </c>
      <c r="I120" s="573">
        <v>0</v>
      </c>
      <c r="J120" s="579">
        <v>0</v>
      </c>
      <c r="K120" s="577">
        <f t="shared" si="182"/>
        <v>55</v>
      </c>
      <c r="L120" s="573">
        <f t="shared" si="182"/>
        <v>0</v>
      </c>
      <c r="M120" s="571">
        <f t="shared" si="176"/>
        <v>-100</v>
      </c>
      <c r="N120" s="573">
        <v>55</v>
      </c>
      <c r="O120" s="573">
        <v>0</v>
      </c>
      <c r="P120" s="571">
        <f t="shared" ref="P120" si="183">ROUND(((O120/N120-1)*100), 1)</f>
        <v>-100</v>
      </c>
      <c r="Q120" s="578">
        <f t="shared" si="167"/>
        <v>0</v>
      </c>
      <c r="R120" s="589">
        <f t="shared" si="168"/>
        <v>1</v>
      </c>
      <c r="S120" s="579">
        <v>0</v>
      </c>
      <c r="T120" s="710">
        <v>55</v>
      </c>
      <c r="U120" s="589">
        <v>1</v>
      </c>
      <c r="V120" s="571">
        <f t="shared" si="170"/>
        <v>-98.2</v>
      </c>
      <c r="W120" s="578">
        <f t="shared" si="171"/>
        <v>24</v>
      </c>
      <c r="X120" s="589">
        <f t="shared" si="172"/>
        <v>0</v>
      </c>
      <c r="Y120" s="571">
        <f t="shared" si="178"/>
        <v>-100</v>
      </c>
      <c r="Z120" s="719">
        <v>79</v>
      </c>
      <c r="AA120" s="630">
        <v>1</v>
      </c>
      <c r="AB120" s="571">
        <f t="shared" si="161"/>
        <v>-98.7</v>
      </c>
      <c r="AC120" s="578">
        <f t="shared" si="162"/>
        <v>0</v>
      </c>
      <c r="AD120" s="589">
        <f t="shared" si="163"/>
        <v>0</v>
      </c>
      <c r="AE120" s="579">
        <v>0</v>
      </c>
      <c r="AF120" s="710">
        <v>79</v>
      </c>
      <c r="AG120" s="573">
        <v>1</v>
      </c>
      <c r="AH120" s="571">
        <f t="shared" si="173"/>
        <v>-98.7</v>
      </c>
    </row>
    <row r="121" spans="1:34">
      <c r="A121" s="3"/>
      <c r="B121" s="39" t="s">
        <v>109</v>
      </c>
      <c r="C121" s="40">
        <v>27</v>
      </c>
      <c r="D121" s="40">
        <v>419</v>
      </c>
      <c r="E121" s="40">
        <v>386</v>
      </c>
      <c r="F121" s="40">
        <v>180</v>
      </c>
      <c r="G121" s="608">
        <v>77</v>
      </c>
      <c r="H121" s="630">
        <v>30</v>
      </c>
      <c r="I121" s="589">
        <v>1</v>
      </c>
      <c r="J121" s="571">
        <f t="shared" si="160"/>
        <v>-96.7</v>
      </c>
      <c r="K121" s="270">
        <f t="shared" si="182"/>
        <v>1</v>
      </c>
      <c r="L121" s="366">
        <f t="shared" si="182"/>
        <v>0</v>
      </c>
      <c r="M121" s="571">
        <f>ROUND(((L121/K121-1)*100), 1)</f>
        <v>-100</v>
      </c>
      <c r="N121" s="589">
        <v>31</v>
      </c>
      <c r="O121" s="589">
        <v>1</v>
      </c>
      <c r="P121" s="235">
        <f>ROUND(((O121/N121-1)*100), 1)</f>
        <v>-96.8</v>
      </c>
      <c r="Q121" s="578">
        <f t="shared" si="167"/>
        <v>2</v>
      </c>
      <c r="R121" s="589">
        <f t="shared" si="168"/>
        <v>19</v>
      </c>
      <c r="S121" s="571">
        <f t="shared" si="169"/>
        <v>850</v>
      </c>
      <c r="T121" s="710">
        <v>33</v>
      </c>
      <c r="U121" s="589">
        <v>20</v>
      </c>
      <c r="V121" s="571">
        <f t="shared" si="170"/>
        <v>-39.4</v>
      </c>
      <c r="W121" s="578">
        <f t="shared" si="171"/>
        <v>0</v>
      </c>
      <c r="X121" s="589">
        <f t="shared" si="172"/>
        <v>1</v>
      </c>
      <c r="Y121" s="579">
        <v>0</v>
      </c>
      <c r="Z121" s="719">
        <v>33</v>
      </c>
      <c r="AA121" s="630">
        <v>21</v>
      </c>
      <c r="AB121" s="571">
        <f t="shared" si="161"/>
        <v>-36.4</v>
      </c>
      <c r="AC121" s="578">
        <f t="shared" si="162"/>
        <v>0</v>
      </c>
      <c r="AD121" s="589">
        <f t="shared" si="163"/>
        <v>22</v>
      </c>
      <c r="AE121" s="579">
        <v>0</v>
      </c>
      <c r="AF121" s="710">
        <v>33</v>
      </c>
      <c r="AG121" s="589">
        <v>43</v>
      </c>
      <c r="AH121" s="571">
        <f t="shared" si="173"/>
        <v>30.3</v>
      </c>
    </row>
    <row r="122" spans="1:34">
      <c r="A122" s="3"/>
      <c r="B122" s="39" t="s">
        <v>139</v>
      </c>
      <c r="C122" s="40">
        <v>1</v>
      </c>
      <c r="D122" s="40">
        <v>180</v>
      </c>
      <c r="E122" s="40">
        <v>413</v>
      </c>
      <c r="F122" s="40">
        <v>206</v>
      </c>
      <c r="G122" s="608">
        <v>64</v>
      </c>
      <c r="H122" s="630">
        <v>22</v>
      </c>
      <c r="I122" s="589">
        <v>0</v>
      </c>
      <c r="J122" s="571">
        <f t="shared" si="160"/>
        <v>-100</v>
      </c>
      <c r="K122" s="270">
        <f t="shared" si="182"/>
        <v>0</v>
      </c>
      <c r="L122" s="366">
        <f t="shared" si="182"/>
        <v>0</v>
      </c>
      <c r="M122" s="570">
        <v>0</v>
      </c>
      <c r="N122" s="589">
        <v>22</v>
      </c>
      <c r="O122" s="589">
        <v>0</v>
      </c>
      <c r="P122" s="571">
        <f>ROUND(((O122/N122-1)*100), 1)</f>
        <v>-100</v>
      </c>
      <c r="Q122" s="578">
        <f t="shared" si="167"/>
        <v>0</v>
      </c>
      <c r="R122" s="589">
        <f t="shared" si="168"/>
        <v>4</v>
      </c>
      <c r="S122" s="579">
        <v>0</v>
      </c>
      <c r="T122" s="710">
        <v>22</v>
      </c>
      <c r="U122" s="589">
        <v>4</v>
      </c>
      <c r="V122" s="235">
        <f>ROUND(((U122/T122-1)*100), 1)</f>
        <v>-81.8</v>
      </c>
      <c r="W122" s="578">
        <f t="shared" si="171"/>
        <v>12</v>
      </c>
      <c r="X122" s="589">
        <f t="shared" si="172"/>
        <v>0</v>
      </c>
      <c r="Y122" s="571">
        <f t="shared" si="178"/>
        <v>-100</v>
      </c>
      <c r="Z122" s="719">
        <v>34</v>
      </c>
      <c r="AA122" s="630">
        <v>4</v>
      </c>
      <c r="AB122" s="235">
        <f>ROUND(((AA122/Z122-1)*100), 1)</f>
        <v>-88.2</v>
      </c>
      <c r="AC122" s="578">
        <f t="shared" si="162"/>
        <v>0</v>
      </c>
      <c r="AD122" s="589">
        <f t="shared" si="163"/>
        <v>0</v>
      </c>
      <c r="AE122" s="579">
        <v>0</v>
      </c>
      <c r="AF122" s="710">
        <v>34</v>
      </c>
      <c r="AG122" s="589">
        <v>4</v>
      </c>
      <c r="AH122" s="235">
        <f t="shared" ref="AH122:AH124" si="184">ROUND(((AG122/AF122-1)*100), 1)</f>
        <v>-88.2</v>
      </c>
    </row>
    <row r="123" spans="1:34">
      <c r="A123" s="3"/>
      <c r="B123" s="39" t="s">
        <v>58</v>
      </c>
      <c r="C123" s="40">
        <v>120</v>
      </c>
      <c r="D123" s="40">
        <v>586</v>
      </c>
      <c r="E123" s="40">
        <v>110</v>
      </c>
      <c r="F123" s="40">
        <v>107</v>
      </c>
      <c r="G123" s="608">
        <v>47</v>
      </c>
      <c r="H123" s="630">
        <v>0</v>
      </c>
      <c r="I123" s="589">
        <v>41</v>
      </c>
      <c r="J123" s="579">
        <v>0</v>
      </c>
      <c r="K123" s="270">
        <f t="shared" si="182"/>
        <v>1</v>
      </c>
      <c r="L123" s="366">
        <f t="shared" si="182"/>
        <v>36</v>
      </c>
      <c r="M123" s="571">
        <f t="shared" ref="M123" si="185">ROUND(((L123/K123-1)*100), 1)</f>
        <v>3500</v>
      </c>
      <c r="N123" s="589">
        <v>1</v>
      </c>
      <c r="O123" s="589">
        <v>77</v>
      </c>
      <c r="P123" s="571">
        <f t="shared" ref="P123" si="186">ROUND(((O123/N123-1)*100), 1)</f>
        <v>7600</v>
      </c>
      <c r="Q123" s="578">
        <f t="shared" si="167"/>
        <v>2</v>
      </c>
      <c r="R123" s="589">
        <f t="shared" si="168"/>
        <v>152</v>
      </c>
      <c r="S123" s="571">
        <f t="shared" si="169"/>
        <v>7500</v>
      </c>
      <c r="T123" s="710">
        <v>3</v>
      </c>
      <c r="U123" s="589">
        <v>229</v>
      </c>
      <c r="V123" s="235">
        <f>ROUND(((U123/T123-1)*100), 1)</f>
        <v>7533.3</v>
      </c>
      <c r="W123" s="270">
        <f t="shared" ref="W123:X124" si="187">Z123-T123</f>
        <v>1</v>
      </c>
      <c r="X123" s="366">
        <f t="shared" si="187"/>
        <v>109</v>
      </c>
      <c r="Y123" s="571">
        <f>ROUND(((X123/W123-1)*100), 1)</f>
        <v>10800</v>
      </c>
      <c r="Z123" s="719">
        <v>4</v>
      </c>
      <c r="AA123" s="630">
        <v>338</v>
      </c>
      <c r="AB123" s="235">
        <f>ROUND(((AA123/Z123-1)*100), 1)</f>
        <v>8350</v>
      </c>
      <c r="AC123" s="270">
        <f t="shared" ref="AC123:AD124" si="188">AF123-Z123</f>
        <v>2</v>
      </c>
      <c r="AD123" s="366">
        <f t="shared" si="188"/>
        <v>213</v>
      </c>
      <c r="AE123" s="235">
        <f>ROUND(((AD123/AC123-1)*100), 1)</f>
        <v>10550</v>
      </c>
      <c r="AF123" s="710">
        <v>6</v>
      </c>
      <c r="AG123" s="589">
        <v>551</v>
      </c>
      <c r="AH123" s="235">
        <f t="shared" si="184"/>
        <v>9083.2999999999993</v>
      </c>
    </row>
    <row r="124" spans="1:34">
      <c r="A124" s="3"/>
      <c r="B124" s="39" t="s">
        <v>108</v>
      </c>
      <c r="C124" s="40">
        <v>789</v>
      </c>
      <c r="D124" s="40">
        <v>118</v>
      </c>
      <c r="E124" s="40">
        <v>20</v>
      </c>
      <c r="F124" s="40">
        <v>52</v>
      </c>
      <c r="G124" s="608">
        <v>9</v>
      </c>
      <c r="H124" s="630">
        <v>0</v>
      </c>
      <c r="I124" s="589">
        <v>0</v>
      </c>
      <c r="J124" s="579">
        <v>0</v>
      </c>
      <c r="K124" s="270">
        <f t="shared" si="182"/>
        <v>0</v>
      </c>
      <c r="L124" s="366">
        <f t="shared" si="182"/>
        <v>1</v>
      </c>
      <c r="M124" s="464">
        <v>0</v>
      </c>
      <c r="N124" s="589">
        <v>0</v>
      </c>
      <c r="O124" s="589">
        <v>1</v>
      </c>
      <c r="P124" s="570">
        <v>0</v>
      </c>
      <c r="Q124" s="270">
        <f t="shared" ref="Q124:R124" si="189">T124-N124</f>
        <v>0</v>
      </c>
      <c r="R124" s="366">
        <f t="shared" si="189"/>
        <v>0</v>
      </c>
      <c r="S124" s="579">
        <v>0</v>
      </c>
      <c r="T124" s="710">
        <v>0</v>
      </c>
      <c r="U124" s="589">
        <v>1</v>
      </c>
      <c r="V124" s="579">
        <v>0</v>
      </c>
      <c r="W124" s="270">
        <f t="shared" si="187"/>
        <v>0</v>
      </c>
      <c r="X124" s="366">
        <f t="shared" si="187"/>
        <v>0</v>
      </c>
      <c r="Y124" s="579">
        <v>0</v>
      </c>
      <c r="Z124" s="719">
        <v>0</v>
      </c>
      <c r="AA124" s="630">
        <v>1</v>
      </c>
      <c r="AB124" s="579">
        <v>0</v>
      </c>
      <c r="AC124" s="270">
        <f t="shared" si="188"/>
        <v>5</v>
      </c>
      <c r="AD124" s="366">
        <f t="shared" si="188"/>
        <v>0</v>
      </c>
      <c r="AE124" s="235">
        <f>ROUND(((AD124/AC124-1)*100), 1)</f>
        <v>-100</v>
      </c>
      <c r="AF124" s="710">
        <v>5</v>
      </c>
      <c r="AG124" s="589">
        <v>1</v>
      </c>
      <c r="AH124" s="235">
        <f t="shared" si="184"/>
        <v>-80</v>
      </c>
    </row>
    <row r="125" spans="1:34">
      <c r="A125" s="3"/>
      <c r="B125" s="39" t="s">
        <v>18</v>
      </c>
      <c r="C125" s="40">
        <f t="shared" ref="C125:I125" si="190">C126-SUM(C100:C124)</f>
        <v>1321</v>
      </c>
      <c r="D125" s="40">
        <f t="shared" si="190"/>
        <v>1021</v>
      </c>
      <c r="E125" s="40">
        <f t="shared" si="190"/>
        <v>1244</v>
      </c>
      <c r="F125" s="40">
        <f t="shared" si="190"/>
        <v>1322</v>
      </c>
      <c r="G125" s="608">
        <f t="shared" si="190"/>
        <v>864</v>
      </c>
      <c r="H125" s="630">
        <f t="shared" si="190"/>
        <v>18</v>
      </c>
      <c r="I125" s="589">
        <f t="shared" si="190"/>
        <v>116</v>
      </c>
      <c r="J125" s="235">
        <f t="shared" ref="J125:J126" si="191">ROUND(((I125/H125-1)*100), 1)</f>
        <v>544.4</v>
      </c>
      <c r="K125" s="359">
        <f>K126-SUM(K100:K124)</f>
        <v>72</v>
      </c>
      <c r="L125" s="366">
        <f>L126-SUM(L100:L124)</f>
        <v>310</v>
      </c>
      <c r="M125" s="235">
        <f t="shared" ref="M125:M126" si="192">ROUND(((L125/K125-1)*100), 1)</f>
        <v>330.6</v>
      </c>
      <c r="N125" s="589">
        <f>N126-SUM(N100:N124)</f>
        <v>90</v>
      </c>
      <c r="O125" s="589">
        <f>O126-SUM(O100:O124)</f>
        <v>426</v>
      </c>
      <c r="P125" s="235">
        <f t="shared" ref="P125:P126" si="193">ROUND(((O125/N125-1)*100), 1)</f>
        <v>373.3</v>
      </c>
      <c r="Q125" s="359">
        <f>Q126-SUM(Q100:Q124)</f>
        <v>53</v>
      </c>
      <c r="R125" s="366">
        <f>R126-SUM(R100:R124)</f>
        <v>233</v>
      </c>
      <c r="S125" s="235">
        <f t="shared" ref="S125:S126" si="194">ROUND(((R125/Q125-1)*100), 1)</f>
        <v>339.6</v>
      </c>
      <c r="T125" s="589">
        <f>T126-SUM(T100:T124)</f>
        <v>143</v>
      </c>
      <c r="U125" s="589">
        <f>U126-SUM(U100:U124)</f>
        <v>659</v>
      </c>
      <c r="V125" s="235">
        <f t="shared" ref="V125:V126" si="195">ROUND(((U125/T125-1)*100), 1)</f>
        <v>360.8</v>
      </c>
      <c r="W125" s="468">
        <f>W126-SUM(W100:W124)</f>
        <v>116</v>
      </c>
      <c r="X125" s="366">
        <f>X126-SUM(X100:X124)</f>
        <v>32</v>
      </c>
      <c r="Y125" s="235">
        <f t="shared" ref="Y125:Y126" si="196">ROUND(((X125/W125-1)*100), 1)</f>
        <v>-72.400000000000006</v>
      </c>
      <c r="Z125" s="630">
        <f>Z126-SUM(Z100:Z124)</f>
        <v>259</v>
      </c>
      <c r="AA125" s="630">
        <f>AA126-SUM(AA100:AA124)</f>
        <v>691</v>
      </c>
      <c r="AB125" s="235">
        <f t="shared" ref="AB125:AB126" si="197">ROUND(((AA125/Z125-1)*100), 1)</f>
        <v>166.8</v>
      </c>
      <c r="AC125" s="468">
        <f>AC126-SUM(AC100:AC124)</f>
        <v>37</v>
      </c>
      <c r="AD125" s="366">
        <f>AD126-SUM(AD100:AD124)</f>
        <v>23</v>
      </c>
      <c r="AE125" s="235">
        <f t="shared" ref="AE125:AE126" si="198">ROUND(((AD125/AC125-1)*100), 1)</f>
        <v>-37.799999999999997</v>
      </c>
      <c r="AF125" s="589">
        <f>AF126-SUM(AF100:AF124)</f>
        <v>296</v>
      </c>
      <c r="AG125" s="589">
        <f>AG126-SUM(AG100:AG124)</f>
        <v>714</v>
      </c>
      <c r="AH125" s="235">
        <f t="shared" ref="AH125:AH126" si="199">ROUND(((AG125/AF125-1)*100), 1)</f>
        <v>141.19999999999999</v>
      </c>
    </row>
    <row r="126" spans="1:34">
      <c r="A126" s="8"/>
      <c r="B126" s="63" t="s">
        <v>101</v>
      </c>
      <c r="C126" s="42">
        <v>25668</v>
      </c>
      <c r="D126" s="42">
        <v>30038</v>
      </c>
      <c r="E126" s="42">
        <v>52161</v>
      </c>
      <c r="F126" s="42">
        <v>40148</v>
      </c>
      <c r="G126" s="609">
        <v>26626</v>
      </c>
      <c r="H126" s="632">
        <v>1925</v>
      </c>
      <c r="I126" s="582">
        <v>2198</v>
      </c>
      <c r="J126" s="236">
        <f t="shared" si="191"/>
        <v>14.2</v>
      </c>
      <c r="K126" s="268">
        <f t="shared" ref="K126" si="200">N126-H126</f>
        <v>2266</v>
      </c>
      <c r="L126" s="280">
        <f t="shared" ref="L126" si="201">O126-I126</f>
        <v>2137</v>
      </c>
      <c r="M126" s="236">
        <f t="shared" si="192"/>
        <v>-5.7</v>
      </c>
      <c r="N126" s="582">
        <v>4191</v>
      </c>
      <c r="O126" s="582">
        <v>4335</v>
      </c>
      <c r="P126" s="236">
        <f t="shared" si="193"/>
        <v>3.4</v>
      </c>
      <c r="Q126" s="268">
        <f t="shared" ref="Q126" si="202">T126-N126</f>
        <v>2364</v>
      </c>
      <c r="R126" s="280">
        <f t="shared" ref="R126" si="203">U126-O126</f>
        <v>2364</v>
      </c>
      <c r="S126" s="236">
        <f t="shared" si="194"/>
        <v>0</v>
      </c>
      <c r="T126" s="582">
        <v>6555</v>
      </c>
      <c r="U126" s="582">
        <v>6699</v>
      </c>
      <c r="V126" s="236">
        <f t="shared" si="195"/>
        <v>2.2000000000000002</v>
      </c>
      <c r="W126" s="268">
        <f t="shared" ref="W126" si="204">Z126-T126</f>
        <v>2325</v>
      </c>
      <c r="X126" s="280">
        <f t="shared" ref="X126" si="205">AA126-U126</f>
        <v>2199</v>
      </c>
      <c r="Y126" s="236">
        <f t="shared" si="196"/>
        <v>-5.4</v>
      </c>
      <c r="Z126" s="632">
        <v>8880</v>
      </c>
      <c r="AA126" s="632">
        <v>8898</v>
      </c>
      <c r="AB126" s="236">
        <f t="shared" si="197"/>
        <v>0.2</v>
      </c>
      <c r="AC126" s="268">
        <f t="shared" ref="AC126:AD126" si="206">AF126-Z126</f>
        <v>1852</v>
      </c>
      <c r="AD126" s="280">
        <f t="shared" si="206"/>
        <v>2266</v>
      </c>
      <c r="AE126" s="236">
        <f t="shared" si="198"/>
        <v>22.4</v>
      </c>
      <c r="AF126" s="582">
        <v>10732</v>
      </c>
      <c r="AG126" s="582">
        <v>11164</v>
      </c>
      <c r="AH126" s="236">
        <f t="shared" si="199"/>
        <v>4</v>
      </c>
    </row>
    <row r="127" spans="1:34">
      <c r="A127" s="3"/>
      <c r="B127" s="39" t="s">
        <v>44</v>
      </c>
      <c r="C127" s="40">
        <v>4476</v>
      </c>
      <c r="D127" s="40">
        <v>5317</v>
      </c>
      <c r="E127" s="40">
        <v>3297</v>
      </c>
      <c r="F127" s="40">
        <v>5422</v>
      </c>
      <c r="G127" s="608">
        <v>9857</v>
      </c>
      <c r="H127" s="630">
        <v>662</v>
      </c>
      <c r="I127" s="589">
        <v>879</v>
      </c>
      <c r="J127" s="235">
        <f>ROUND(((I127/H127-1)*100), 1)</f>
        <v>32.799999999999997</v>
      </c>
      <c r="K127" s="270">
        <f t="shared" ref="K127:L130" si="207">N127-H127</f>
        <v>806</v>
      </c>
      <c r="L127" s="366">
        <f t="shared" si="207"/>
        <v>721</v>
      </c>
      <c r="M127" s="235">
        <f>ROUND(((L127/K127-1)*100), 1)</f>
        <v>-10.5</v>
      </c>
      <c r="N127" s="589">
        <v>1468</v>
      </c>
      <c r="O127" s="589">
        <v>1600</v>
      </c>
      <c r="P127" s="235">
        <f>ROUND(((O127/N127-1)*100), 1)</f>
        <v>9</v>
      </c>
      <c r="Q127" s="270">
        <f t="shared" ref="Q127:R128" si="208">T127-N127</f>
        <v>883</v>
      </c>
      <c r="R127" s="366">
        <f t="shared" si="208"/>
        <v>921</v>
      </c>
      <c r="S127" s="235">
        <f>ROUND(((R127/Q127-1)*100), 1)</f>
        <v>4.3</v>
      </c>
      <c r="T127" s="589">
        <v>2351</v>
      </c>
      <c r="U127" s="589">
        <v>2521</v>
      </c>
      <c r="V127" s="235">
        <f>ROUND(((U127/T127-1)*100), 1)</f>
        <v>7.2</v>
      </c>
      <c r="W127" s="270">
        <f t="shared" ref="W127:X130" si="209">Z127-T127</f>
        <v>675</v>
      </c>
      <c r="X127" s="366">
        <f t="shared" si="209"/>
        <v>810</v>
      </c>
      <c r="Y127" s="235">
        <f>ROUND(((X127/W127-1)*100), 1)</f>
        <v>20</v>
      </c>
      <c r="Z127" s="630">
        <v>3026</v>
      </c>
      <c r="AA127" s="630">
        <v>3331</v>
      </c>
      <c r="AB127" s="235">
        <f>ROUND(((AA127/Z127-1)*100), 1)</f>
        <v>10.1</v>
      </c>
      <c r="AC127" s="270">
        <f t="shared" ref="AC127:AD129" si="210">AF127-Z127</f>
        <v>939</v>
      </c>
      <c r="AD127" s="366">
        <f t="shared" si="210"/>
        <v>1040</v>
      </c>
      <c r="AE127" s="235">
        <f>ROUND(((AD127/AC127-1)*100), 1)</f>
        <v>10.8</v>
      </c>
      <c r="AF127" s="589">
        <v>3965</v>
      </c>
      <c r="AG127" s="589">
        <v>4371</v>
      </c>
      <c r="AH127" s="235">
        <f>ROUND(((AG127/AF127-1)*100), 1)</f>
        <v>10.199999999999999</v>
      </c>
    </row>
    <row r="128" spans="1:34">
      <c r="A128" s="3" t="s">
        <v>103</v>
      </c>
      <c r="B128" s="39" t="s">
        <v>43</v>
      </c>
      <c r="C128" s="40">
        <v>2338</v>
      </c>
      <c r="D128" s="40">
        <v>2106</v>
      </c>
      <c r="E128" s="40">
        <v>3436</v>
      </c>
      <c r="F128" s="40">
        <v>4893</v>
      </c>
      <c r="G128" s="608">
        <v>4413</v>
      </c>
      <c r="H128" s="630">
        <v>425</v>
      </c>
      <c r="I128" s="589">
        <v>320</v>
      </c>
      <c r="J128" s="235">
        <f>ROUND(((I128/H128-1)*100), 1)</f>
        <v>-24.7</v>
      </c>
      <c r="K128" s="270">
        <f t="shared" si="207"/>
        <v>104</v>
      </c>
      <c r="L128" s="366">
        <f t="shared" si="207"/>
        <v>368</v>
      </c>
      <c r="M128" s="235">
        <f>ROUND(((L128/K128-1)*100), 1)</f>
        <v>253.8</v>
      </c>
      <c r="N128" s="589">
        <v>529</v>
      </c>
      <c r="O128" s="589">
        <v>688</v>
      </c>
      <c r="P128" s="235">
        <f>ROUND(((O128/N128-1)*100), 1)</f>
        <v>30.1</v>
      </c>
      <c r="Q128" s="270">
        <f t="shared" si="208"/>
        <v>367</v>
      </c>
      <c r="R128" s="366">
        <f t="shared" si="208"/>
        <v>254</v>
      </c>
      <c r="S128" s="235">
        <f>ROUND(((R128/Q128-1)*100), 1)</f>
        <v>-30.8</v>
      </c>
      <c r="T128" s="589">
        <v>896</v>
      </c>
      <c r="U128" s="589">
        <v>942</v>
      </c>
      <c r="V128" s="235">
        <f>ROUND(((U128/T128-1)*100), 1)</f>
        <v>5.0999999999999996</v>
      </c>
      <c r="W128" s="270">
        <f t="shared" si="209"/>
        <v>434</v>
      </c>
      <c r="X128" s="366">
        <f t="shared" si="209"/>
        <v>301</v>
      </c>
      <c r="Y128" s="235">
        <f>ROUND(((X128/W128-1)*100), 1)</f>
        <v>-30.6</v>
      </c>
      <c r="Z128" s="630">
        <v>1330</v>
      </c>
      <c r="AA128" s="630">
        <v>1243</v>
      </c>
      <c r="AB128" s="235">
        <f>ROUND(((AA128/Z128-1)*100), 1)</f>
        <v>-6.5</v>
      </c>
      <c r="AC128" s="270">
        <f t="shared" si="210"/>
        <v>422</v>
      </c>
      <c r="AD128" s="366">
        <f t="shared" si="210"/>
        <v>323</v>
      </c>
      <c r="AE128" s="235">
        <f>ROUND(((AD128/AC128-1)*100), 1)</f>
        <v>-23.5</v>
      </c>
      <c r="AF128" s="589">
        <v>1752</v>
      </c>
      <c r="AG128" s="589">
        <v>1566</v>
      </c>
      <c r="AH128" s="235">
        <f>ROUND(((AG128/AF128-1)*100), 1)</f>
        <v>-10.6</v>
      </c>
    </row>
    <row r="129" spans="1:34">
      <c r="A129" s="3"/>
      <c r="B129" s="39" t="s">
        <v>47</v>
      </c>
      <c r="C129" s="40">
        <v>394</v>
      </c>
      <c r="D129" s="40">
        <v>211</v>
      </c>
      <c r="E129" s="40">
        <v>207</v>
      </c>
      <c r="F129" s="40">
        <v>78</v>
      </c>
      <c r="G129" s="608">
        <v>1048</v>
      </c>
      <c r="H129" s="630">
        <v>3</v>
      </c>
      <c r="I129" s="589">
        <v>126</v>
      </c>
      <c r="J129" s="235">
        <f>ROUND(((I129/H129-1)*100), 1)</f>
        <v>4100</v>
      </c>
      <c r="K129" s="270">
        <f t="shared" si="207"/>
        <v>10</v>
      </c>
      <c r="L129" s="366">
        <f t="shared" si="207"/>
        <v>103</v>
      </c>
      <c r="M129" s="235">
        <f>ROUND(((L129/K129-1)*100), 1)</f>
        <v>930</v>
      </c>
      <c r="N129" s="589">
        <v>13</v>
      </c>
      <c r="O129" s="589">
        <v>229</v>
      </c>
      <c r="P129" s="235">
        <f>ROUND(((O129/N129-1)*100), 1)</f>
        <v>1661.5</v>
      </c>
      <c r="Q129" s="578">
        <f t="shared" ref="Q129:Q141" si="211">T129-N129</f>
        <v>3</v>
      </c>
      <c r="R129" s="589">
        <f t="shared" ref="R129:R141" si="212">U129-O129</f>
        <v>142</v>
      </c>
      <c r="S129" s="571">
        <f t="shared" ref="S129:S137" si="213">ROUND(((R129/Q129-1)*100), 1)</f>
        <v>4633.3</v>
      </c>
      <c r="T129" s="589">
        <v>16</v>
      </c>
      <c r="U129" s="589">
        <v>371</v>
      </c>
      <c r="V129" s="235">
        <f>ROUND(((U129/T129-1)*100), 1)</f>
        <v>2218.8000000000002</v>
      </c>
      <c r="W129" s="270">
        <f t="shared" si="209"/>
        <v>5</v>
      </c>
      <c r="X129" s="366">
        <f t="shared" si="209"/>
        <v>134</v>
      </c>
      <c r="Y129" s="235">
        <f>ROUND(((X129/W129-1)*100), 1)</f>
        <v>2580</v>
      </c>
      <c r="Z129" s="630">
        <v>21</v>
      </c>
      <c r="AA129" s="630">
        <v>505</v>
      </c>
      <c r="AB129" s="235">
        <f>ROUND(((AA129/Z129-1)*100), 1)</f>
        <v>2304.8000000000002</v>
      </c>
      <c r="AC129" s="270">
        <f t="shared" si="210"/>
        <v>1</v>
      </c>
      <c r="AD129" s="366">
        <f t="shared" si="210"/>
        <v>131</v>
      </c>
      <c r="AE129" s="235">
        <f>ROUND(((AD129/AC129-1)*100), 1)</f>
        <v>13000</v>
      </c>
      <c r="AF129" s="589">
        <v>22</v>
      </c>
      <c r="AG129" s="589">
        <v>636</v>
      </c>
      <c r="AH129" s="235">
        <f>ROUND(((AG129/AF129-1)*100), 1)</f>
        <v>2790.9</v>
      </c>
    </row>
    <row r="130" spans="1:34">
      <c r="A130" s="3"/>
      <c r="B130" s="39" t="s">
        <v>46</v>
      </c>
      <c r="C130" s="40">
        <v>288</v>
      </c>
      <c r="D130" s="40">
        <v>292</v>
      </c>
      <c r="E130" s="40">
        <v>161</v>
      </c>
      <c r="F130" s="40">
        <v>286</v>
      </c>
      <c r="G130" s="608">
        <v>180</v>
      </c>
      <c r="H130" s="630">
        <v>13</v>
      </c>
      <c r="I130" s="589">
        <v>3</v>
      </c>
      <c r="J130" s="571">
        <f t="shared" ref="J130:J140" si="214">ROUND(((I130/H130-1)*100), 1)</f>
        <v>-76.900000000000006</v>
      </c>
      <c r="K130" s="270">
        <f t="shared" si="207"/>
        <v>11</v>
      </c>
      <c r="L130" s="366">
        <f t="shared" si="207"/>
        <v>44</v>
      </c>
      <c r="M130" s="571">
        <f>ROUND(((L130/K130-1)*100), 1)</f>
        <v>300</v>
      </c>
      <c r="N130" s="589">
        <v>24</v>
      </c>
      <c r="O130" s="589">
        <v>47</v>
      </c>
      <c r="P130" s="571">
        <f>ROUND(((O130/N130-1)*100), 1)</f>
        <v>95.8</v>
      </c>
      <c r="Q130" s="578">
        <f t="shared" si="211"/>
        <v>20</v>
      </c>
      <c r="R130" s="589">
        <f t="shared" si="212"/>
        <v>27</v>
      </c>
      <c r="S130" s="571">
        <f t="shared" si="213"/>
        <v>35</v>
      </c>
      <c r="T130" s="589">
        <v>44</v>
      </c>
      <c r="U130" s="589">
        <v>74</v>
      </c>
      <c r="V130" s="571">
        <f>ROUND(((U130/T130-1)*100), 1)</f>
        <v>68.2</v>
      </c>
      <c r="W130" s="270">
        <f t="shared" si="209"/>
        <v>18</v>
      </c>
      <c r="X130" s="366">
        <f t="shared" si="209"/>
        <v>141</v>
      </c>
      <c r="Y130" s="571">
        <f>ROUND(((X130/W130-1)*100), 1)</f>
        <v>683.3</v>
      </c>
      <c r="Z130" s="630">
        <v>62</v>
      </c>
      <c r="AA130" s="630">
        <v>215</v>
      </c>
      <c r="AB130" s="571">
        <f>ROUND(((AA130/Z130-1)*100), 1)</f>
        <v>246.8</v>
      </c>
      <c r="AC130" s="578">
        <f t="shared" ref="AC130:AC140" si="215">AF130-Z130</f>
        <v>13</v>
      </c>
      <c r="AD130" s="589">
        <f t="shared" ref="AD130:AD140" si="216">AG130-AA130</f>
        <v>19</v>
      </c>
      <c r="AE130" s="571">
        <f t="shared" ref="AE130:AE137" si="217">ROUND(((AD130/AC130-1)*100), 1)</f>
        <v>46.2</v>
      </c>
      <c r="AF130" s="589">
        <v>75</v>
      </c>
      <c r="AG130" s="589">
        <v>234</v>
      </c>
      <c r="AH130" s="571">
        <f>ROUND(((AG130/AF130-1)*100), 1)</f>
        <v>212</v>
      </c>
    </row>
    <row r="131" spans="1:34" s="605" customFormat="1">
      <c r="A131" s="675"/>
      <c r="B131" s="611" t="s">
        <v>566</v>
      </c>
      <c r="C131" s="608">
        <v>8</v>
      </c>
      <c r="D131" s="608">
        <v>24</v>
      </c>
      <c r="E131" s="608">
        <v>16</v>
      </c>
      <c r="F131" s="608">
        <v>11</v>
      </c>
      <c r="G131" s="608">
        <v>104</v>
      </c>
      <c r="H131" s="630">
        <v>0</v>
      </c>
      <c r="I131" s="589">
        <v>0</v>
      </c>
      <c r="J131" s="579">
        <v>0</v>
      </c>
      <c r="K131" s="578">
        <f t="shared" ref="K131" si="218">N131-H131</f>
        <v>0</v>
      </c>
      <c r="L131" s="589">
        <f t="shared" ref="L131" si="219">O131-I131</f>
        <v>28</v>
      </c>
      <c r="M131" s="579">
        <v>0</v>
      </c>
      <c r="N131" s="589">
        <v>0</v>
      </c>
      <c r="O131" s="589">
        <v>28</v>
      </c>
      <c r="P131" s="579">
        <v>0</v>
      </c>
      <c r="Q131" s="578">
        <f t="shared" si="211"/>
        <v>1</v>
      </c>
      <c r="R131" s="589">
        <f t="shared" si="212"/>
        <v>17</v>
      </c>
      <c r="S131" s="571">
        <f t="shared" si="213"/>
        <v>1600</v>
      </c>
      <c r="T131" s="589">
        <v>1</v>
      </c>
      <c r="U131" s="589">
        <v>45</v>
      </c>
      <c r="V131" s="571">
        <f t="shared" ref="V131:V141" si="220">ROUND(((U131/T131-1)*100), 1)</f>
        <v>4400</v>
      </c>
      <c r="W131" s="578">
        <f t="shared" ref="W131:W139" si="221">Z131-T131</f>
        <v>2</v>
      </c>
      <c r="X131" s="589">
        <f t="shared" ref="X131:X139" si="222">AA131-U131</f>
        <v>0</v>
      </c>
      <c r="Y131" s="571">
        <f t="shared" ref="Y131:Y137" si="223">ROUND(((X131/W131-1)*100), 1)</f>
        <v>-100</v>
      </c>
      <c r="Z131" s="630">
        <v>3</v>
      </c>
      <c r="AA131" s="630">
        <v>45</v>
      </c>
      <c r="AB131" s="571">
        <f t="shared" ref="AB131:AB136" si="224">ROUND(((AA131/Z131-1)*100), 1)</f>
        <v>1400</v>
      </c>
      <c r="AC131" s="578">
        <f t="shared" si="215"/>
        <v>7</v>
      </c>
      <c r="AD131" s="589">
        <f t="shared" si="216"/>
        <v>6</v>
      </c>
      <c r="AE131" s="571">
        <f t="shared" si="217"/>
        <v>-14.3</v>
      </c>
      <c r="AF131" s="589">
        <v>10</v>
      </c>
      <c r="AG131" s="589">
        <v>51</v>
      </c>
      <c r="AH131" s="571">
        <f t="shared" ref="AH131:AH138" si="225">ROUND(((AG131/AF131-1)*100), 1)</f>
        <v>410</v>
      </c>
    </row>
    <row r="132" spans="1:34">
      <c r="A132" s="3"/>
      <c r="B132" s="39" t="s">
        <v>62</v>
      </c>
      <c r="C132" s="40">
        <v>477</v>
      </c>
      <c r="D132" s="40">
        <v>232</v>
      </c>
      <c r="E132" s="40">
        <v>106</v>
      </c>
      <c r="F132" s="40">
        <v>200</v>
      </c>
      <c r="G132" s="608">
        <v>98</v>
      </c>
      <c r="H132" s="630">
        <v>1</v>
      </c>
      <c r="I132" s="589">
        <v>0</v>
      </c>
      <c r="J132" s="571">
        <f t="shared" si="214"/>
        <v>-100</v>
      </c>
      <c r="K132" s="270">
        <f t="shared" ref="K132:L136" si="226">N132-H132</f>
        <v>51</v>
      </c>
      <c r="L132" s="366">
        <f t="shared" si="226"/>
        <v>1</v>
      </c>
      <c r="M132" s="576">
        <v>0</v>
      </c>
      <c r="N132" s="589">
        <v>52</v>
      </c>
      <c r="O132" s="589">
        <v>1</v>
      </c>
      <c r="P132" s="576">
        <v>0</v>
      </c>
      <c r="Q132" s="578">
        <f t="shared" si="211"/>
        <v>3</v>
      </c>
      <c r="R132" s="589">
        <f t="shared" si="212"/>
        <v>0</v>
      </c>
      <c r="S132" s="571">
        <f t="shared" si="213"/>
        <v>-100</v>
      </c>
      <c r="T132" s="589">
        <v>55</v>
      </c>
      <c r="U132" s="589">
        <v>1</v>
      </c>
      <c r="V132" s="571">
        <f t="shared" si="220"/>
        <v>-98.2</v>
      </c>
      <c r="W132" s="578">
        <f t="shared" si="221"/>
        <v>9</v>
      </c>
      <c r="X132" s="589">
        <f t="shared" si="222"/>
        <v>1</v>
      </c>
      <c r="Y132" s="571">
        <f t="shared" si="223"/>
        <v>-88.9</v>
      </c>
      <c r="Z132" s="630">
        <v>64</v>
      </c>
      <c r="AA132" s="630">
        <v>2</v>
      </c>
      <c r="AB132" s="571">
        <f t="shared" si="224"/>
        <v>-96.9</v>
      </c>
      <c r="AC132" s="578">
        <f t="shared" si="215"/>
        <v>6</v>
      </c>
      <c r="AD132" s="589">
        <f t="shared" si="216"/>
        <v>0</v>
      </c>
      <c r="AE132" s="571">
        <f t="shared" si="217"/>
        <v>-100</v>
      </c>
      <c r="AF132" s="589">
        <v>70</v>
      </c>
      <c r="AG132" s="589">
        <v>2</v>
      </c>
      <c r="AH132" s="571">
        <f t="shared" si="225"/>
        <v>-97.1</v>
      </c>
    </row>
    <row r="133" spans="1:34">
      <c r="A133" s="3"/>
      <c r="B133" s="39" t="s">
        <v>66</v>
      </c>
      <c r="C133" s="40">
        <v>89</v>
      </c>
      <c r="D133" s="40">
        <v>137</v>
      </c>
      <c r="E133" s="40">
        <v>91</v>
      </c>
      <c r="F133" s="40">
        <v>117</v>
      </c>
      <c r="G133" s="608">
        <v>88</v>
      </c>
      <c r="H133" s="630">
        <v>12</v>
      </c>
      <c r="I133" s="589">
        <v>7</v>
      </c>
      <c r="J133" s="571">
        <f t="shared" si="214"/>
        <v>-41.7</v>
      </c>
      <c r="K133" s="270">
        <f t="shared" si="226"/>
        <v>1</v>
      </c>
      <c r="L133" s="366">
        <f t="shared" si="226"/>
        <v>2</v>
      </c>
      <c r="M133" s="235">
        <f>ROUND(((L133/K133-1)*100), 1)</f>
        <v>100</v>
      </c>
      <c r="N133" s="589">
        <v>13</v>
      </c>
      <c r="O133" s="589">
        <v>9</v>
      </c>
      <c r="P133" s="235">
        <f>ROUND(((O133/N133-1)*100), 1)</f>
        <v>-30.8</v>
      </c>
      <c r="Q133" s="578">
        <f t="shared" si="211"/>
        <v>18</v>
      </c>
      <c r="R133" s="589">
        <f t="shared" si="212"/>
        <v>0</v>
      </c>
      <c r="S133" s="571">
        <f t="shared" si="213"/>
        <v>-100</v>
      </c>
      <c r="T133" s="589">
        <v>31</v>
      </c>
      <c r="U133" s="589">
        <v>9</v>
      </c>
      <c r="V133" s="571">
        <f t="shared" si="220"/>
        <v>-71</v>
      </c>
      <c r="W133" s="578">
        <f t="shared" si="221"/>
        <v>8</v>
      </c>
      <c r="X133" s="589">
        <f t="shared" si="222"/>
        <v>2</v>
      </c>
      <c r="Y133" s="571">
        <f t="shared" si="223"/>
        <v>-75</v>
      </c>
      <c r="Z133" s="630">
        <v>39</v>
      </c>
      <c r="AA133" s="630">
        <v>11</v>
      </c>
      <c r="AB133" s="571">
        <f t="shared" si="224"/>
        <v>-71.8</v>
      </c>
      <c r="AC133" s="578">
        <f t="shared" si="215"/>
        <v>0</v>
      </c>
      <c r="AD133" s="589">
        <f t="shared" si="216"/>
        <v>3</v>
      </c>
      <c r="AE133" s="579">
        <v>0</v>
      </c>
      <c r="AF133" s="589">
        <v>39</v>
      </c>
      <c r="AG133" s="589">
        <v>14</v>
      </c>
      <c r="AH133" s="571">
        <f t="shared" si="225"/>
        <v>-64.099999999999994</v>
      </c>
    </row>
    <row r="134" spans="1:34">
      <c r="A134" s="3"/>
      <c r="B134" s="39" t="s">
        <v>61</v>
      </c>
      <c r="C134" s="40">
        <v>298</v>
      </c>
      <c r="D134" s="40">
        <v>94</v>
      </c>
      <c r="E134" s="40">
        <v>166</v>
      </c>
      <c r="F134" s="40">
        <v>70</v>
      </c>
      <c r="G134" s="608">
        <v>60</v>
      </c>
      <c r="H134" s="630">
        <v>2</v>
      </c>
      <c r="I134" s="589">
        <v>5</v>
      </c>
      <c r="J134" s="571">
        <f t="shared" si="214"/>
        <v>150</v>
      </c>
      <c r="K134" s="270">
        <f t="shared" si="226"/>
        <v>15</v>
      </c>
      <c r="L134" s="366">
        <f t="shared" si="226"/>
        <v>2</v>
      </c>
      <c r="M134" s="235">
        <f>ROUND(((L134/K134-1)*100), 1)</f>
        <v>-86.7</v>
      </c>
      <c r="N134" s="589">
        <v>17</v>
      </c>
      <c r="O134" s="589">
        <v>7</v>
      </c>
      <c r="P134" s="235">
        <f>ROUND(((O134/N134-1)*100), 1)</f>
        <v>-58.8</v>
      </c>
      <c r="Q134" s="578">
        <f t="shared" si="211"/>
        <v>19</v>
      </c>
      <c r="R134" s="589">
        <f t="shared" si="212"/>
        <v>2</v>
      </c>
      <c r="S134" s="571">
        <f t="shared" si="213"/>
        <v>-89.5</v>
      </c>
      <c r="T134" s="589">
        <v>36</v>
      </c>
      <c r="U134" s="589">
        <v>9</v>
      </c>
      <c r="V134" s="571">
        <f t="shared" si="220"/>
        <v>-75</v>
      </c>
      <c r="W134" s="578">
        <f t="shared" si="221"/>
        <v>4</v>
      </c>
      <c r="X134" s="589">
        <f t="shared" si="222"/>
        <v>1</v>
      </c>
      <c r="Y134" s="571">
        <f t="shared" si="223"/>
        <v>-75</v>
      </c>
      <c r="Z134" s="630">
        <v>40</v>
      </c>
      <c r="AA134" s="630">
        <v>10</v>
      </c>
      <c r="AB134" s="571">
        <f t="shared" si="224"/>
        <v>-75</v>
      </c>
      <c r="AC134" s="578">
        <f t="shared" si="215"/>
        <v>9</v>
      </c>
      <c r="AD134" s="589">
        <f t="shared" si="216"/>
        <v>3</v>
      </c>
      <c r="AE134" s="571">
        <f t="shared" si="217"/>
        <v>-66.7</v>
      </c>
      <c r="AF134" s="589">
        <v>49</v>
      </c>
      <c r="AG134" s="589">
        <v>13</v>
      </c>
      <c r="AH134" s="571">
        <f t="shared" si="225"/>
        <v>-73.5</v>
      </c>
    </row>
    <row r="135" spans="1:34">
      <c r="A135" s="3"/>
      <c r="B135" s="39" t="s">
        <v>198</v>
      </c>
      <c r="C135" s="40">
        <v>9</v>
      </c>
      <c r="D135" s="40">
        <v>7</v>
      </c>
      <c r="E135" s="40">
        <v>6</v>
      </c>
      <c r="F135" s="40">
        <v>26</v>
      </c>
      <c r="G135" s="608">
        <v>47</v>
      </c>
      <c r="H135" s="630">
        <v>1</v>
      </c>
      <c r="I135" s="589">
        <v>0</v>
      </c>
      <c r="J135" s="571">
        <f t="shared" si="214"/>
        <v>-100</v>
      </c>
      <c r="K135" s="270">
        <f t="shared" si="226"/>
        <v>0</v>
      </c>
      <c r="L135" s="366">
        <f t="shared" si="226"/>
        <v>0</v>
      </c>
      <c r="M135" s="579">
        <v>0</v>
      </c>
      <c r="N135" s="589">
        <v>1</v>
      </c>
      <c r="O135" s="589">
        <v>0</v>
      </c>
      <c r="P135" s="571">
        <f>ROUND(((O135/N135-1)*100), 1)</f>
        <v>-100</v>
      </c>
      <c r="Q135" s="578">
        <f t="shared" si="211"/>
        <v>2</v>
      </c>
      <c r="R135" s="589">
        <f t="shared" si="212"/>
        <v>4</v>
      </c>
      <c r="S135" s="571">
        <f t="shared" si="213"/>
        <v>100</v>
      </c>
      <c r="T135" s="589">
        <v>3</v>
      </c>
      <c r="U135" s="589">
        <v>4</v>
      </c>
      <c r="V135" s="571">
        <f t="shared" si="220"/>
        <v>33.299999999999997</v>
      </c>
      <c r="W135" s="578">
        <f t="shared" si="221"/>
        <v>11</v>
      </c>
      <c r="X135" s="589">
        <f t="shared" si="222"/>
        <v>3</v>
      </c>
      <c r="Y135" s="571">
        <f t="shared" si="223"/>
        <v>-72.7</v>
      </c>
      <c r="Z135" s="630">
        <v>14</v>
      </c>
      <c r="AA135" s="630">
        <v>7</v>
      </c>
      <c r="AB135" s="571">
        <f t="shared" si="224"/>
        <v>-50</v>
      </c>
      <c r="AC135" s="578">
        <f t="shared" si="215"/>
        <v>2</v>
      </c>
      <c r="AD135" s="589">
        <f t="shared" si="216"/>
        <v>2</v>
      </c>
      <c r="AE135" s="571">
        <f t="shared" si="217"/>
        <v>0</v>
      </c>
      <c r="AF135" s="589">
        <v>16</v>
      </c>
      <c r="AG135" s="589">
        <v>9</v>
      </c>
      <c r="AH135" s="571">
        <f t="shared" si="225"/>
        <v>-43.8</v>
      </c>
    </row>
    <row r="136" spans="1:34" s="605" customFormat="1">
      <c r="A136" s="675"/>
      <c r="B136" s="611" t="s">
        <v>564</v>
      </c>
      <c r="C136" s="608">
        <v>3</v>
      </c>
      <c r="D136" s="608">
        <v>8</v>
      </c>
      <c r="E136" s="608">
        <v>3</v>
      </c>
      <c r="F136" s="608">
        <v>58</v>
      </c>
      <c r="G136" s="608">
        <v>47</v>
      </c>
      <c r="H136" s="630">
        <v>12</v>
      </c>
      <c r="I136" s="589">
        <v>5</v>
      </c>
      <c r="J136" s="571">
        <f t="shared" si="214"/>
        <v>-58.3</v>
      </c>
      <c r="K136" s="578">
        <f t="shared" si="226"/>
        <v>1</v>
      </c>
      <c r="L136" s="589">
        <f t="shared" si="226"/>
        <v>3</v>
      </c>
      <c r="M136" s="571">
        <f>ROUND(((L136/K136-1)*100), 1)</f>
        <v>200</v>
      </c>
      <c r="N136" s="589">
        <v>13</v>
      </c>
      <c r="O136" s="589">
        <v>8</v>
      </c>
      <c r="P136" s="571">
        <f>ROUND(((O136/N136-1)*100), 1)</f>
        <v>-38.5</v>
      </c>
      <c r="Q136" s="578">
        <f t="shared" si="211"/>
        <v>2</v>
      </c>
      <c r="R136" s="589">
        <f t="shared" si="212"/>
        <v>0</v>
      </c>
      <c r="S136" s="571">
        <f t="shared" si="213"/>
        <v>-100</v>
      </c>
      <c r="T136" s="589">
        <v>15</v>
      </c>
      <c r="U136" s="589">
        <v>8</v>
      </c>
      <c r="V136" s="571">
        <f t="shared" si="220"/>
        <v>-46.7</v>
      </c>
      <c r="W136" s="578">
        <f t="shared" si="221"/>
        <v>2</v>
      </c>
      <c r="X136" s="589">
        <f t="shared" si="222"/>
        <v>0</v>
      </c>
      <c r="Y136" s="571">
        <f t="shared" si="223"/>
        <v>-100</v>
      </c>
      <c r="Z136" s="630">
        <v>17</v>
      </c>
      <c r="AA136" s="630">
        <v>8</v>
      </c>
      <c r="AB136" s="571">
        <f t="shared" si="224"/>
        <v>-52.9</v>
      </c>
      <c r="AC136" s="578">
        <f t="shared" si="215"/>
        <v>12</v>
      </c>
      <c r="AD136" s="589">
        <f t="shared" si="216"/>
        <v>0</v>
      </c>
      <c r="AE136" s="571">
        <f t="shared" si="217"/>
        <v>-100</v>
      </c>
      <c r="AF136" s="589">
        <v>29</v>
      </c>
      <c r="AG136" s="589">
        <v>8</v>
      </c>
      <c r="AH136" s="571">
        <f t="shared" si="225"/>
        <v>-72.400000000000006</v>
      </c>
    </row>
    <row r="137" spans="1:34">
      <c r="A137" s="3"/>
      <c r="B137" s="39" t="s">
        <v>50</v>
      </c>
      <c r="C137" s="40">
        <v>147</v>
      </c>
      <c r="D137" s="40">
        <v>83</v>
      </c>
      <c r="E137" s="40">
        <v>26</v>
      </c>
      <c r="F137" s="40">
        <v>21</v>
      </c>
      <c r="G137" s="608">
        <v>21</v>
      </c>
      <c r="H137" s="630">
        <v>0</v>
      </c>
      <c r="I137" s="589">
        <v>1</v>
      </c>
      <c r="J137" s="579">
        <v>0</v>
      </c>
      <c r="K137" s="270">
        <f t="shared" ref="K137:L141" si="227">N137-H137</f>
        <v>0</v>
      </c>
      <c r="L137" s="366">
        <f t="shared" si="227"/>
        <v>0</v>
      </c>
      <c r="M137" s="171">
        <v>0</v>
      </c>
      <c r="N137" s="589">
        <v>0</v>
      </c>
      <c r="O137" s="589">
        <v>1</v>
      </c>
      <c r="P137" s="579">
        <v>0</v>
      </c>
      <c r="Q137" s="578">
        <f t="shared" si="211"/>
        <v>1</v>
      </c>
      <c r="R137" s="589">
        <f t="shared" si="212"/>
        <v>0</v>
      </c>
      <c r="S137" s="571">
        <f t="shared" si="213"/>
        <v>-100</v>
      </c>
      <c r="T137" s="589">
        <v>1</v>
      </c>
      <c r="U137" s="589">
        <v>1</v>
      </c>
      <c r="V137" s="571">
        <f t="shared" si="220"/>
        <v>0</v>
      </c>
      <c r="W137" s="578">
        <f t="shared" si="221"/>
        <v>1</v>
      </c>
      <c r="X137" s="589">
        <f t="shared" si="222"/>
        <v>1</v>
      </c>
      <c r="Y137" s="571">
        <f t="shared" si="223"/>
        <v>0</v>
      </c>
      <c r="Z137" s="630">
        <v>2</v>
      </c>
      <c r="AA137" s="630">
        <v>2</v>
      </c>
      <c r="AB137" s="235">
        <f t="shared" ref="AB137:AB143" si="228">ROUND(((AA137/Z137-1)*100), 1)</f>
        <v>0</v>
      </c>
      <c r="AC137" s="578">
        <f t="shared" si="215"/>
        <v>2</v>
      </c>
      <c r="AD137" s="589">
        <f t="shared" si="216"/>
        <v>1</v>
      </c>
      <c r="AE137" s="571">
        <f t="shared" si="217"/>
        <v>-50</v>
      </c>
      <c r="AF137" s="589">
        <v>4</v>
      </c>
      <c r="AG137" s="589">
        <v>3</v>
      </c>
      <c r="AH137" s="571">
        <f t="shared" si="225"/>
        <v>-25</v>
      </c>
    </row>
    <row r="138" spans="1:34">
      <c r="A138" s="3"/>
      <c r="B138" s="39" t="s">
        <v>229</v>
      </c>
      <c r="C138" s="40">
        <v>23</v>
      </c>
      <c r="D138" s="40">
        <v>14</v>
      </c>
      <c r="E138" s="40">
        <v>13</v>
      </c>
      <c r="F138" s="40">
        <v>19</v>
      </c>
      <c r="G138" s="608">
        <v>7</v>
      </c>
      <c r="H138" s="630">
        <v>2</v>
      </c>
      <c r="I138" s="589">
        <v>0</v>
      </c>
      <c r="J138" s="571">
        <f t="shared" si="214"/>
        <v>-100</v>
      </c>
      <c r="K138" s="270">
        <f t="shared" si="227"/>
        <v>0</v>
      </c>
      <c r="L138" s="366">
        <f t="shared" si="227"/>
        <v>0</v>
      </c>
      <c r="M138" s="570">
        <v>0</v>
      </c>
      <c r="N138" s="589">
        <v>2</v>
      </c>
      <c r="O138" s="589">
        <v>0</v>
      </c>
      <c r="P138" s="235">
        <f>ROUND(((O138/N138-1)*100), 1)</f>
        <v>-100</v>
      </c>
      <c r="Q138" s="578">
        <f t="shared" si="211"/>
        <v>0</v>
      </c>
      <c r="R138" s="589">
        <f t="shared" si="212"/>
        <v>0</v>
      </c>
      <c r="S138" s="579">
        <v>0</v>
      </c>
      <c r="T138" s="589">
        <v>2</v>
      </c>
      <c r="U138" s="589">
        <v>0</v>
      </c>
      <c r="V138" s="571">
        <f t="shared" si="220"/>
        <v>-100</v>
      </c>
      <c r="W138" s="578">
        <f t="shared" si="221"/>
        <v>0</v>
      </c>
      <c r="X138" s="589">
        <f t="shared" si="222"/>
        <v>4</v>
      </c>
      <c r="Y138" s="570">
        <v>0</v>
      </c>
      <c r="Z138" s="630">
        <v>2</v>
      </c>
      <c r="AA138" s="630">
        <v>4</v>
      </c>
      <c r="AB138" s="235">
        <f t="shared" si="228"/>
        <v>100</v>
      </c>
      <c r="AC138" s="578">
        <f t="shared" si="215"/>
        <v>0</v>
      </c>
      <c r="AD138" s="589">
        <f t="shared" si="216"/>
        <v>1</v>
      </c>
      <c r="AE138" s="579">
        <v>0</v>
      </c>
      <c r="AF138" s="589">
        <v>2</v>
      </c>
      <c r="AG138" s="589">
        <v>5</v>
      </c>
      <c r="AH138" s="571">
        <f t="shared" si="225"/>
        <v>150</v>
      </c>
    </row>
    <row r="139" spans="1:34">
      <c r="A139" s="3"/>
      <c r="B139" s="39" t="s">
        <v>64</v>
      </c>
      <c r="C139" s="40">
        <v>6</v>
      </c>
      <c r="D139" s="40">
        <v>27</v>
      </c>
      <c r="E139" s="40">
        <v>8</v>
      </c>
      <c r="F139" s="40">
        <v>20</v>
      </c>
      <c r="G139" s="608">
        <v>6</v>
      </c>
      <c r="H139" s="630">
        <v>0</v>
      </c>
      <c r="I139" s="589">
        <v>0</v>
      </c>
      <c r="J139" s="579">
        <v>0</v>
      </c>
      <c r="K139" s="270">
        <f t="shared" si="227"/>
        <v>1</v>
      </c>
      <c r="L139" s="366">
        <f t="shared" si="227"/>
        <v>0</v>
      </c>
      <c r="M139" s="571">
        <f>ROUND(((L139/K139-1)*100), 1)</f>
        <v>-100</v>
      </c>
      <c r="N139" s="589">
        <v>1</v>
      </c>
      <c r="O139" s="589">
        <v>0</v>
      </c>
      <c r="P139" s="235">
        <f>ROUND(((O139/N139-1)*100), 1)</f>
        <v>-100</v>
      </c>
      <c r="Q139" s="578">
        <f t="shared" si="211"/>
        <v>0</v>
      </c>
      <c r="R139" s="589">
        <f t="shared" si="212"/>
        <v>1</v>
      </c>
      <c r="S139" s="579">
        <v>0</v>
      </c>
      <c r="T139" s="589">
        <v>1</v>
      </c>
      <c r="U139" s="589">
        <v>1</v>
      </c>
      <c r="V139" s="571">
        <f t="shared" si="220"/>
        <v>0</v>
      </c>
      <c r="W139" s="578">
        <f t="shared" si="221"/>
        <v>0</v>
      </c>
      <c r="X139" s="589">
        <f t="shared" si="222"/>
        <v>0</v>
      </c>
      <c r="Y139" s="570">
        <v>0</v>
      </c>
      <c r="Z139" s="630">
        <v>1</v>
      </c>
      <c r="AA139" s="630">
        <v>1</v>
      </c>
      <c r="AB139" s="235">
        <f t="shared" si="228"/>
        <v>0</v>
      </c>
      <c r="AC139" s="578">
        <f t="shared" si="215"/>
        <v>0</v>
      </c>
      <c r="AD139" s="589">
        <f t="shared" si="216"/>
        <v>0</v>
      </c>
      <c r="AE139" s="579">
        <v>0</v>
      </c>
      <c r="AF139" s="589">
        <v>1</v>
      </c>
      <c r="AG139" s="589">
        <v>1</v>
      </c>
      <c r="AH139" s="235">
        <f t="shared" ref="AH139:AH143" si="229">ROUND(((AG139/AF139-1)*100), 1)</f>
        <v>0</v>
      </c>
    </row>
    <row r="140" spans="1:34">
      <c r="A140" s="3"/>
      <c r="B140" s="39" t="s">
        <v>241</v>
      </c>
      <c r="C140" s="40">
        <v>14</v>
      </c>
      <c r="D140" s="40">
        <v>24</v>
      </c>
      <c r="E140" s="40">
        <v>5</v>
      </c>
      <c r="F140" s="40">
        <v>3</v>
      </c>
      <c r="G140" s="608">
        <v>5</v>
      </c>
      <c r="H140" s="630">
        <v>1</v>
      </c>
      <c r="I140" s="589">
        <v>0</v>
      </c>
      <c r="J140" s="571">
        <f t="shared" si="214"/>
        <v>-100</v>
      </c>
      <c r="K140" s="270">
        <f t="shared" si="227"/>
        <v>0</v>
      </c>
      <c r="L140" s="366">
        <f t="shared" si="227"/>
        <v>2</v>
      </c>
      <c r="M140" s="579">
        <v>0</v>
      </c>
      <c r="N140" s="589">
        <v>1</v>
      </c>
      <c r="O140" s="589">
        <v>2</v>
      </c>
      <c r="P140" s="571">
        <f>ROUND(((O140/N140-1)*100), 1)</f>
        <v>100</v>
      </c>
      <c r="Q140" s="578">
        <f t="shared" si="211"/>
        <v>0</v>
      </c>
      <c r="R140" s="589">
        <f t="shared" si="212"/>
        <v>0</v>
      </c>
      <c r="S140" s="579">
        <v>0</v>
      </c>
      <c r="T140" s="589">
        <v>1</v>
      </c>
      <c r="U140" s="589">
        <v>2</v>
      </c>
      <c r="V140" s="571">
        <f t="shared" si="220"/>
        <v>100</v>
      </c>
      <c r="W140" s="270">
        <f t="shared" ref="W140:X141" si="230">Z140-T140</f>
        <v>0</v>
      </c>
      <c r="X140" s="366">
        <f t="shared" si="230"/>
        <v>5</v>
      </c>
      <c r="Y140" s="570">
        <v>0</v>
      </c>
      <c r="Z140" s="630">
        <v>1</v>
      </c>
      <c r="AA140" s="630">
        <v>7</v>
      </c>
      <c r="AB140" s="235">
        <f t="shared" si="228"/>
        <v>600</v>
      </c>
      <c r="AC140" s="578">
        <f t="shared" si="215"/>
        <v>0</v>
      </c>
      <c r="AD140" s="589">
        <f t="shared" si="216"/>
        <v>1</v>
      </c>
      <c r="AE140" s="579">
        <v>0</v>
      </c>
      <c r="AF140" s="589">
        <v>1</v>
      </c>
      <c r="AG140" s="589">
        <v>8</v>
      </c>
      <c r="AH140" s="235">
        <f t="shared" si="229"/>
        <v>700</v>
      </c>
    </row>
    <row r="141" spans="1:34">
      <c r="A141" s="3"/>
      <c r="B141" s="39" t="s">
        <v>49</v>
      </c>
      <c r="C141" s="40">
        <v>22</v>
      </c>
      <c r="D141" s="40">
        <v>10</v>
      </c>
      <c r="E141" s="40">
        <v>61</v>
      </c>
      <c r="F141" s="40">
        <v>4</v>
      </c>
      <c r="G141" s="608">
        <v>3</v>
      </c>
      <c r="H141" s="630">
        <v>0</v>
      </c>
      <c r="I141" s="589">
        <v>0</v>
      </c>
      <c r="J141" s="579">
        <v>0</v>
      </c>
      <c r="K141" s="270">
        <f t="shared" si="227"/>
        <v>1</v>
      </c>
      <c r="L141" s="366">
        <f t="shared" si="227"/>
        <v>0</v>
      </c>
      <c r="M141" s="464">
        <v>0</v>
      </c>
      <c r="N141" s="589">
        <v>1</v>
      </c>
      <c r="O141" s="589">
        <v>0</v>
      </c>
      <c r="P141" s="579">
        <v>0</v>
      </c>
      <c r="Q141" s="578">
        <f t="shared" si="211"/>
        <v>0</v>
      </c>
      <c r="R141" s="589">
        <f t="shared" si="212"/>
        <v>1</v>
      </c>
      <c r="S141" s="579">
        <v>0</v>
      </c>
      <c r="T141" s="589">
        <v>1</v>
      </c>
      <c r="U141" s="589">
        <v>1</v>
      </c>
      <c r="V141" s="571">
        <f t="shared" si="220"/>
        <v>0</v>
      </c>
      <c r="W141" s="270">
        <f t="shared" si="230"/>
        <v>0</v>
      </c>
      <c r="X141" s="366">
        <f t="shared" si="230"/>
        <v>0</v>
      </c>
      <c r="Y141" s="570">
        <v>0</v>
      </c>
      <c r="Z141" s="630">
        <v>1</v>
      </c>
      <c r="AA141" s="630">
        <v>1</v>
      </c>
      <c r="AB141" s="235">
        <f t="shared" si="228"/>
        <v>0</v>
      </c>
      <c r="AC141" s="270">
        <f t="shared" ref="AC141:AD141" si="231">AF141-Z141</f>
        <v>0</v>
      </c>
      <c r="AD141" s="366">
        <f t="shared" si="231"/>
        <v>0</v>
      </c>
      <c r="AE141" s="579">
        <v>0</v>
      </c>
      <c r="AF141" s="589">
        <v>1</v>
      </c>
      <c r="AG141" s="589">
        <v>1</v>
      </c>
      <c r="AH141" s="235">
        <f t="shared" si="229"/>
        <v>0</v>
      </c>
    </row>
    <row r="142" spans="1:34">
      <c r="A142" s="3"/>
      <c r="B142" s="39" t="s">
        <v>18</v>
      </c>
      <c r="C142" s="40">
        <f t="shared" ref="C142:I142" si="232">C143-SUM(C127:C141)</f>
        <v>149</v>
      </c>
      <c r="D142" s="40">
        <f t="shared" si="232"/>
        <v>251</v>
      </c>
      <c r="E142" s="40">
        <f t="shared" si="232"/>
        <v>221</v>
      </c>
      <c r="F142" s="40">
        <f t="shared" si="232"/>
        <v>89</v>
      </c>
      <c r="G142" s="608">
        <f t="shared" si="232"/>
        <v>109</v>
      </c>
      <c r="H142" s="630">
        <f t="shared" si="232"/>
        <v>0</v>
      </c>
      <c r="I142" s="589">
        <f t="shared" si="232"/>
        <v>15</v>
      </c>
      <c r="J142" s="580">
        <v>0</v>
      </c>
      <c r="K142" s="359">
        <f>K143-SUM(K127:K141)</f>
        <v>3</v>
      </c>
      <c r="L142" s="366">
        <f>L143-SUM(L127:L141)</f>
        <v>0</v>
      </c>
      <c r="M142" s="235">
        <f>ROUND(((L142/K142-1)*100), 1)</f>
        <v>-100</v>
      </c>
      <c r="N142" s="589">
        <f>N143-SUM(N127:N141)</f>
        <v>3</v>
      </c>
      <c r="O142" s="589">
        <f>O143-SUM(O127:O141)</f>
        <v>15</v>
      </c>
      <c r="P142" s="235">
        <f>ROUND(((O142/N142-1)*100), 1)</f>
        <v>400</v>
      </c>
      <c r="Q142" s="359">
        <f>Q143-SUM(Q127:Q141)</f>
        <v>6</v>
      </c>
      <c r="R142" s="366">
        <f>R143-SUM(R127:R141)</f>
        <v>0</v>
      </c>
      <c r="S142" s="235">
        <f>ROUND(((R142/Q142-1)*100), 1)</f>
        <v>-100</v>
      </c>
      <c r="T142" s="589">
        <f>T143-SUM(T127:T141)</f>
        <v>9</v>
      </c>
      <c r="U142" s="589">
        <f>U143-SUM(U127:U141)</f>
        <v>15</v>
      </c>
      <c r="V142" s="235">
        <f>ROUND(((U142/T142-1)*100), 1)</f>
        <v>66.7</v>
      </c>
      <c r="W142" s="468">
        <f>W143-SUM(W127:W141)</f>
        <v>3</v>
      </c>
      <c r="X142" s="366">
        <f>X143-SUM(X127:X141)</f>
        <v>4</v>
      </c>
      <c r="Y142" s="235">
        <f>ROUND(((X142/W142-1)*100), 1)</f>
        <v>33.299999999999997</v>
      </c>
      <c r="Z142" s="630">
        <f>Z143-SUM(Z127:Z141)</f>
        <v>12</v>
      </c>
      <c r="AA142" s="630">
        <f>AA143-SUM(AA127:AA141)</f>
        <v>19</v>
      </c>
      <c r="AB142" s="235">
        <f t="shared" si="228"/>
        <v>58.3</v>
      </c>
      <c r="AC142" s="468">
        <f>AC143-SUM(AC127:AC141)</f>
        <v>1</v>
      </c>
      <c r="AD142" s="366">
        <f>AD143-SUM(AD127:AD141)</f>
        <v>1</v>
      </c>
      <c r="AE142" s="235">
        <f>ROUND(((AD142/AC142-1)*100), 1)</f>
        <v>0</v>
      </c>
      <c r="AF142" s="589">
        <f>AF143-SUM(AF127:AF141)</f>
        <v>13</v>
      </c>
      <c r="AG142" s="589">
        <f>AG143-SUM(AG127:AG141)</f>
        <v>20</v>
      </c>
      <c r="AH142" s="235">
        <f t="shared" si="229"/>
        <v>53.8</v>
      </c>
    </row>
    <row r="143" spans="1:34">
      <c r="A143" s="8"/>
      <c r="B143" s="63" t="s">
        <v>101</v>
      </c>
      <c r="C143" s="42">
        <v>8741</v>
      </c>
      <c r="D143" s="42">
        <v>8837</v>
      </c>
      <c r="E143" s="42">
        <v>7823</v>
      </c>
      <c r="F143" s="42">
        <v>11317</v>
      </c>
      <c r="G143" s="609">
        <v>16093</v>
      </c>
      <c r="H143" s="632">
        <v>1134</v>
      </c>
      <c r="I143" s="582">
        <v>1361</v>
      </c>
      <c r="J143" s="236">
        <f>ROUND(((I143/H143-1)*100), 1)</f>
        <v>20</v>
      </c>
      <c r="K143" s="268">
        <f>N143-H143</f>
        <v>1004</v>
      </c>
      <c r="L143" s="280">
        <f>O143-I143</f>
        <v>1274</v>
      </c>
      <c r="M143" s="236">
        <f>ROUND(((L143/K143-1)*100), 1)</f>
        <v>26.9</v>
      </c>
      <c r="N143" s="582">
        <v>2138</v>
      </c>
      <c r="O143" s="582">
        <v>2635</v>
      </c>
      <c r="P143" s="236">
        <f>ROUND(((O143/N143-1)*100), 1)</f>
        <v>23.2</v>
      </c>
      <c r="Q143" s="268">
        <f>T143-N143</f>
        <v>1325</v>
      </c>
      <c r="R143" s="280">
        <f>U143-O143</f>
        <v>1369</v>
      </c>
      <c r="S143" s="236">
        <f>ROUND(((R143/Q143-1)*100), 1)</f>
        <v>3.3</v>
      </c>
      <c r="T143" s="582">
        <v>3463</v>
      </c>
      <c r="U143" s="582">
        <v>4004</v>
      </c>
      <c r="V143" s="236">
        <f>ROUND(((U143/T143-1)*100), 1)</f>
        <v>15.6</v>
      </c>
      <c r="W143" s="268">
        <f>Z143-T143</f>
        <v>1172</v>
      </c>
      <c r="X143" s="280">
        <f>AA143-U143</f>
        <v>1407</v>
      </c>
      <c r="Y143" s="236">
        <f>ROUND(((X143/W143-1)*100), 1)</f>
        <v>20.100000000000001</v>
      </c>
      <c r="Z143" s="632">
        <v>4635</v>
      </c>
      <c r="AA143" s="632">
        <v>5411</v>
      </c>
      <c r="AB143" s="236">
        <f t="shared" si="228"/>
        <v>16.7</v>
      </c>
      <c r="AC143" s="268">
        <f>AF143-Z143</f>
        <v>1414</v>
      </c>
      <c r="AD143" s="280">
        <f>AG143-AA143</f>
        <v>1531</v>
      </c>
      <c r="AE143" s="236">
        <f>ROUND(((AD143/AC143-1)*100), 1)</f>
        <v>8.3000000000000007</v>
      </c>
      <c r="AF143" s="582">
        <v>6049</v>
      </c>
      <c r="AG143" s="582">
        <v>6942</v>
      </c>
      <c r="AH143" s="236">
        <f t="shared" si="229"/>
        <v>14.8</v>
      </c>
    </row>
    <row r="144" spans="1:34">
      <c r="A144" s="108" t="s">
        <v>111</v>
      </c>
      <c r="J144" s="261"/>
    </row>
    <row r="145" spans="1:34">
      <c r="J145" s="261"/>
    </row>
    <row r="146" spans="1:34">
      <c r="A146" s="210" t="s">
        <v>287</v>
      </c>
      <c r="B146" s="80"/>
      <c r="C146" s="79"/>
      <c r="E146" s="79"/>
      <c r="G146" s="267" t="s">
        <v>242</v>
      </c>
      <c r="H146" s="625"/>
      <c r="I146" s="568"/>
      <c r="J146" s="265"/>
      <c r="K146" s="267"/>
      <c r="L146" s="267"/>
      <c r="M146" s="265"/>
      <c r="N146" s="568"/>
      <c r="O146" s="568"/>
      <c r="P146" s="265"/>
      <c r="Q146" s="267"/>
      <c r="R146" s="267"/>
      <c r="S146" s="265"/>
      <c r="T146" s="568"/>
      <c r="U146" s="568"/>
      <c r="V146" s="265"/>
      <c r="W146" s="267"/>
      <c r="X146" s="267"/>
      <c r="Y146" s="265"/>
      <c r="Z146" s="625"/>
      <c r="AA146" s="625"/>
      <c r="AB146" s="265"/>
      <c r="AC146" s="267"/>
      <c r="AD146" s="267"/>
      <c r="AE146" s="265"/>
      <c r="AF146" s="568"/>
      <c r="AG146" s="568"/>
      <c r="AH146" s="265"/>
    </row>
    <row r="147" spans="1:34">
      <c r="B147" s="26"/>
      <c r="C147" s="71"/>
      <c r="D147" s="71"/>
      <c r="E147" s="266"/>
      <c r="F147" s="266"/>
      <c r="G147" s="567"/>
      <c r="H147" s="624"/>
      <c r="I147" s="567"/>
      <c r="J147" s="262" t="s">
        <v>87</v>
      </c>
      <c r="K147" s="266"/>
      <c r="L147" s="266"/>
      <c r="M147" s="262"/>
      <c r="N147" s="567"/>
      <c r="O147" s="567"/>
      <c r="P147" s="262" t="s">
        <v>87</v>
      </c>
      <c r="Q147" s="266"/>
      <c r="R147" s="266"/>
      <c r="S147" s="262"/>
      <c r="T147" s="567"/>
      <c r="U147" s="567"/>
      <c r="V147" s="262" t="s">
        <v>87</v>
      </c>
      <c r="W147" s="266"/>
      <c r="X147" s="266"/>
      <c r="Y147" s="262"/>
      <c r="Z147" s="624"/>
      <c r="AA147" s="624"/>
      <c r="AB147" s="262" t="s">
        <v>87</v>
      </c>
      <c r="AC147" s="266"/>
      <c r="AD147" s="266"/>
      <c r="AE147" s="262"/>
      <c r="AF147" s="567"/>
      <c r="AG147" s="567"/>
      <c r="AH147" s="262" t="s">
        <v>87</v>
      </c>
    </row>
    <row r="148" spans="1:34">
      <c r="A148" s="733" t="s">
        <v>88</v>
      </c>
      <c r="B148" s="733"/>
      <c r="C148" s="855" t="s">
        <v>2</v>
      </c>
      <c r="D148" s="855" t="s">
        <v>74</v>
      </c>
      <c r="E148" s="855" t="s">
        <v>76</v>
      </c>
      <c r="F148" s="850" t="s">
        <v>294</v>
      </c>
      <c r="G148" s="850" t="s">
        <v>431</v>
      </c>
      <c r="H148" s="864" t="s">
        <v>33</v>
      </c>
      <c r="I148" s="749"/>
      <c r="J148" s="733"/>
      <c r="K148" s="837" t="s">
        <v>471</v>
      </c>
      <c r="L148" s="838"/>
      <c r="M148" s="839"/>
      <c r="N148" s="837" t="s">
        <v>472</v>
      </c>
      <c r="O148" s="838"/>
      <c r="P148" s="839"/>
      <c r="Q148" s="837" t="s">
        <v>477</v>
      </c>
      <c r="R148" s="838"/>
      <c r="S148" s="839"/>
      <c r="T148" s="837" t="s">
        <v>478</v>
      </c>
      <c r="U148" s="838"/>
      <c r="V148" s="839"/>
      <c r="W148" s="837" t="s">
        <v>484</v>
      </c>
      <c r="X148" s="838"/>
      <c r="Y148" s="839"/>
      <c r="Z148" s="837" t="s">
        <v>486</v>
      </c>
      <c r="AA148" s="838"/>
      <c r="AB148" s="839"/>
      <c r="AC148" s="837" t="s">
        <v>492</v>
      </c>
      <c r="AD148" s="838"/>
      <c r="AE148" s="839"/>
      <c r="AF148" s="837" t="s">
        <v>493</v>
      </c>
      <c r="AG148" s="838"/>
      <c r="AH148" s="839"/>
    </row>
    <row r="149" spans="1:34">
      <c r="A149" s="733"/>
      <c r="B149" s="733"/>
      <c r="C149" s="855"/>
      <c r="D149" s="855"/>
      <c r="E149" s="855"/>
      <c r="F149" s="851"/>
      <c r="G149" s="851"/>
      <c r="H149" s="698" t="s">
        <v>431</v>
      </c>
      <c r="I149" s="533" t="s">
        <v>503</v>
      </c>
      <c r="J149" s="531" t="s">
        <v>5</v>
      </c>
      <c r="K149" s="535" t="s">
        <v>431</v>
      </c>
      <c r="L149" s="533" t="s">
        <v>503</v>
      </c>
      <c r="M149" s="531" t="s">
        <v>5</v>
      </c>
      <c r="N149" s="535" t="s">
        <v>431</v>
      </c>
      <c r="O149" s="533" t="s">
        <v>503</v>
      </c>
      <c r="P149" s="531" t="s">
        <v>5</v>
      </c>
      <c r="Q149" s="535" t="s">
        <v>431</v>
      </c>
      <c r="R149" s="533" t="s">
        <v>503</v>
      </c>
      <c r="S149" s="531" t="s">
        <v>5</v>
      </c>
      <c r="T149" s="535" t="s">
        <v>431</v>
      </c>
      <c r="U149" s="533" t="s">
        <v>503</v>
      </c>
      <c r="V149" s="531" t="s">
        <v>5</v>
      </c>
      <c r="W149" s="535" t="s">
        <v>431</v>
      </c>
      <c r="X149" s="533" t="s">
        <v>503</v>
      </c>
      <c r="Y149" s="531" t="s">
        <v>5</v>
      </c>
      <c r="Z149" s="698" t="s">
        <v>431</v>
      </c>
      <c r="AA149" s="697" t="s">
        <v>503</v>
      </c>
      <c r="AB149" s="531" t="s">
        <v>5</v>
      </c>
      <c r="AC149" s="535" t="s">
        <v>431</v>
      </c>
      <c r="AD149" s="533" t="s">
        <v>503</v>
      </c>
      <c r="AE149" s="531" t="s">
        <v>5</v>
      </c>
      <c r="AF149" s="535" t="s">
        <v>431</v>
      </c>
      <c r="AG149" s="533" t="s">
        <v>503</v>
      </c>
      <c r="AH149" s="531" t="s">
        <v>5</v>
      </c>
    </row>
    <row r="150" spans="1:34">
      <c r="A150" s="7"/>
      <c r="B150" s="81" t="s">
        <v>47</v>
      </c>
      <c r="C150" s="62">
        <v>7431</v>
      </c>
      <c r="D150" s="62">
        <v>6584</v>
      </c>
      <c r="E150" s="62">
        <v>5773</v>
      </c>
      <c r="F150" s="62">
        <v>5834</v>
      </c>
      <c r="G150" s="62">
        <v>7062</v>
      </c>
      <c r="H150" s="634">
        <v>540</v>
      </c>
      <c r="I150" s="584">
        <v>557</v>
      </c>
      <c r="J150" s="433">
        <f t="shared" ref="J150:J169" si="233">ROUND(((I150/H150-1)*100), 1)</f>
        <v>3.1</v>
      </c>
      <c r="K150" s="269">
        <f t="shared" ref="K150:K162" si="234">N150-H150</f>
        <v>459</v>
      </c>
      <c r="L150" s="365">
        <f t="shared" ref="L150:L162" si="235">O150-I150</f>
        <v>565</v>
      </c>
      <c r="M150" s="433">
        <f t="shared" ref="M150:M162" si="236">ROUND(((L150/K150-1)*100), 1)</f>
        <v>23.1</v>
      </c>
      <c r="N150" s="584">
        <v>999</v>
      </c>
      <c r="O150" s="584">
        <v>1122</v>
      </c>
      <c r="P150" s="433">
        <f t="shared" ref="P150:P163" si="237">ROUND(((O150/N150-1)*100), 1)</f>
        <v>12.3</v>
      </c>
      <c r="Q150" s="269">
        <f t="shared" ref="Q150:Q160" si="238">T150-N150</f>
        <v>540</v>
      </c>
      <c r="R150" s="365">
        <f t="shared" ref="R150:R160" si="239">U150-O150</f>
        <v>506</v>
      </c>
      <c r="S150" s="433">
        <f t="shared" ref="S150:S160" si="240">ROUND(((R150/Q150-1)*100), 1)</f>
        <v>-6.3</v>
      </c>
      <c r="T150" s="709">
        <v>1539</v>
      </c>
      <c r="U150" s="584">
        <v>1628</v>
      </c>
      <c r="V150" s="433">
        <f t="shared" ref="V150:V170" si="241">ROUND(((U150/T150-1)*100), 1)</f>
        <v>5.8</v>
      </c>
      <c r="W150" s="269">
        <f t="shared" ref="W150:W159" si="242">Z150-T150</f>
        <v>538</v>
      </c>
      <c r="X150" s="365">
        <f t="shared" ref="X150:X159" si="243">AA150-U150</f>
        <v>460</v>
      </c>
      <c r="Y150" s="433">
        <f t="shared" ref="Y150:Y159" si="244">ROUND(((X150/W150-1)*100), 1)</f>
        <v>-14.5</v>
      </c>
      <c r="Z150" s="718">
        <v>2077</v>
      </c>
      <c r="AA150" s="634">
        <v>2088</v>
      </c>
      <c r="AB150" s="433">
        <f t="shared" ref="AB150:AB163" si="245">ROUND(((AA150/Z150-1)*100), 1)</f>
        <v>0.5</v>
      </c>
      <c r="AC150" s="269">
        <f t="shared" ref="AC150:AC153" si="246">AF150-Z150</f>
        <v>495</v>
      </c>
      <c r="AD150" s="365">
        <f t="shared" ref="AD150:AD153" si="247">AG150-AA150</f>
        <v>303</v>
      </c>
      <c r="AE150" s="433">
        <f t="shared" ref="AE150:AE153" si="248">ROUND(((AD150/AC150-1)*100), 1)</f>
        <v>-38.799999999999997</v>
      </c>
      <c r="AF150" s="709">
        <v>2572</v>
      </c>
      <c r="AG150" s="584">
        <v>2391</v>
      </c>
      <c r="AH150" s="433">
        <f t="shared" ref="AH150:AH164" si="249">ROUND(((AG150/AF150-1)*100), 1)</f>
        <v>-7</v>
      </c>
    </row>
    <row r="151" spans="1:34">
      <c r="A151" s="3" t="s">
        <v>114</v>
      </c>
      <c r="B151" s="39" t="s">
        <v>46</v>
      </c>
      <c r="C151" s="40">
        <v>1388</v>
      </c>
      <c r="D151" s="40">
        <v>1239</v>
      </c>
      <c r="E151" s="40">
        <v>1409</v>
      </c>
      <c r="F151" s="40">
        <v>1206</v>
      </c>
      <c r="G151" s="608">
        <v>1559</v>
      </c>
      <c r="H151" s="630">
        <v>96</v>
      </c>
      <c r="I151" s="589">
        <v>143</v>
      </c>
      <c r="J151" s="235">
        <f t="shared" si="233"/>
        <v>49</v>
      </c>
      <c r="K151" s="270">
        <f t="shared" si="234"/>
        <v>91</v>
      </c>
      <c r="L151" s="366">
        <f t="shared" si="235"/>
        <v>98</v>
      </c>
      <c r="M151" s="235">
        <f t="shared" si="236"/>
        <v>7.7</v>
      </c>
      <c r="N151" s="589">
        <v>187</v>
      </c>
      <c r="O151" s="589">
        <v>241</v>
      </c>
      <c r="P151" s="235">
        <f t="shared" si="237"/>
        <v>28.9</v>
      </c>
      <c r="Q151" s="270">
        <f t="shared" si="238"/>
        <v>112</v>
      </c>
      <c r="R151" s="366">
        <f t="shared" si="239"/>
        <v>174</v>
      </c>
      <c r="S151" s="235">
        <f t="shared" si="240"/>
        <v>55.4</v>
      </c>
      <c r="T151" s="710">
        <v>299</v>
      </c>
      <c r="U151" s="589">
        <v>415</v>
      </c>
      <c r="V151" s="235">
        <f t="shared" si="241"/>
        <v>38.799999999999997</v>
      </c>
      <c r="W151" s="270">
        <f t="shared" si="242"/>
        <v>33</v>
      </c>
      <c r="X151" s="366">
        <f t="shared" si="243"/>
        <v>100</v>
      </c>
      <c r="Y151" s="235">
        <f t="shared" si="244"/>
        <v>203</v>
      </c>
      <c r="Z151" s="719">
        <v>332</v>
      </c>
      <c r="AA151" s="630">
        <v>515</v>
      </c>
      <c r="AB151" s="235">
        <f t="shared" si="245"/>
        <v>55.1</v>
      </c>
      <c r="AC151" s="270">
        <f t="shared" si="246"/>
        <v>86</v>
      </c>
      <c r="AD151" s="366">
        <f t="shared" si="247"/>
        <v>169</v>
      </c>
      <c r="AE151" s="235">
        <f t="shared" si="248"/>
        <v>96.5</v>
      </c>
      <c r="AF151" s="710">
        <v>418</v>
      </c>
      <c r="AG151" s="589">
        <v>684</v>
      </c>
      <c r="AH151" s="235">
        <f t="shared" si="249"/>
        <v>63.6</v>
      </c>
    </row>
    <row r="152" spans="1:34">
      <c r="A152" s="3"/>
      <c r="B152" s="39" t="s">
        <v>43</v>
      </c>
      <c r="C152" s="40">
        <v>2864</v>
      </c>
      <c r="D152" s="40">
        <v>2086</v>
      </c>
      <c r="E152" s="40">
        <v>2079</v>
      </c>
      <c r="F152" s="40">
        <v>1381</v>
      </c>
      <c r="G152" s="608">
        <v>1169</v>
      </c>
      <c r="H152" s="630">
        <v>85</v>
      </c>
      <c r="I152" s="589">
        <v>147</v>
      </c>
      <c r="J152" s="235">
        <f t="shared" si="233"/>
        <v>72.900000000000006</v>
      </c>
      <c r="K152" s="270">
        <f t="shared" si="234"/>
        <v>65</v>
      </c>
      <c r="L152" s="366">
        <f t="shared" si="235"/>
        <v>45</v>
      </c>
      <c r="M152" s="235">
        <f t="shared" si="236"/>
        <v>-30.8</v>
      </c>
      <c r="N152" s="589">
        <v>150</v>
      </c>
      <c r="O152" s="589">
        <v>192</v>
      </c>
      <c r="P152" s="235">
        <f t="shared" si="237"/>
        <v>28</v>
      </c>
      <c r="Q152" s="270">
        <f t="shared" si="238"/>
        <v>171</v>
      </c>
      <c r="R152" s="366">
        <f t="shared" si="239"/>
        <v>93</v>
      </c>
      <c r="S152" s="235">
        <f t="shared" si="240"/>
        <v>-45.6</v>
      </c>
      <c r="T152" s="710">
        <v>321</v>
      </c>
      <c r="U152" s="589">
        <v>285</v>
      </c>
      <c r="V152" s="235">
        <f t="shared" si="241"/>
        <v>-11.2</v>
      </c>
      <c r="W152" s="270">
        <f t="shared" si="242"/>
        <v>125</v>
      </c>
      <c r="X152" s="366">
        <f t="shared" si="243"/>
        <v>126</v>
      </c>
      <c r="Y152" s="235">
        <f t="shared" si="244"/>
        <v>0.8</v>
      </c>
      <c r="Z152" s="719">
        <v>446</v>
      </c>
      <c r="AA152" s="630">
        <v>411</v>
      </c>
      <c r="AB152" s="235">
        <f t="shared" si="245"/>
        <v>-7.8</v>
      </c>
      <c r="AC152" s="270">
        <f t="shared" si="246"/>
        <v>131</v>
      </c>
      <c r="AD152" s="366">
        <f t="shared" si="247"/>
        <v>174</v>
      </c>
      <c r="AE152" s="235">
        <f t="shared" si="248"/>
        <v>32.799999999999997</v>
      </c>
      <c r="AF152" s="710">
        <v>577</v>
      </c>
      <c r="AG152" s="589">
        <v>585</v>
      </c>
      <c r="AH152" s="235">
        <f t="shared" si="249"/>
        <v>1.4</v>
      </c>
    </row>
    <row r="153" spans="1:34">
      <c r="A153" s="3"/>
      <c r="B153" s="39" t="s">
        <v>56</v>
      </c>
      <c r="C153" s="40">
        <v>1053</v>
      </c>
      <c r="D153" s="40">
        <v>1323</v>
      </c>
      <c r="E153" s="40">
        <v>768</v>
      </c>
      <c r="F153" s="40">
        <v>778</v>
      </c>
      <c r="G153" s="608">
        <v>1069</v>
      </c>
      <c r="H153" s="630">
        <v>26</v>
      </c>
      <c r="I153" s="589">
        <v>162</v>
      </c>
      <c r="J153" s="235">
        <f t="shared" si="233"/>
        <v>523.1</v>
      </c>
      <c r="K153" s="270">
        <f t="shared" si="234"/>
        <v>60</v>
      </c>
      <c r="L153" s="366">
        <f t="shared" si="235"/>
        <v>132</v>
      </c>
      <c r="M153" s="235">
        <f t="shared" si="236"/>
        <v>120</v>
      </c>
      <c r="N153" s="589">
        <v>86</v>
      </c>
      <c r="O153" s="589">
        <v>294</v>
      </c>
      <c r="P153" s="235">
        <f t="shared" si="237"/>
        <v>241.9</v>
      </c>
      <c r="Q153" s="270">
        <f t="shared" si="238"/>
        <v>168</v>
      </c>
      <c r="R153" s="366">
        <f t="shared" si="239"/>
        <v>68</v>
      </c>
      <c r="S153" s="235">
        <f t="shared" si="240"/>
        <v>-59.5</v>
      </c>
      <c r="T153" s="710">
        <v>254</v>
      </c>
      <c r="U153" s="589">
        <v>362</v>
      </c>
      <c r="V153" s="235">
        <f t="shared" si="241"/>
        <v>42.5</v>
      </c>
      <c r="W153" s="270">
        <f t="shared" si="242"/>
        <v>49</v>
      </c>
      <c r="X153" s="366">
        <f t="shared" si="243"/>
        <v>85</v>
      </c>
      <c r="Y153" s="235">
        <f t="shared" si="244"/>
        <v>73.5</v>
      </c>
      <c r="Z153" s="719">
        <v>303</v>
      </c>
      <c r="AA153" s="630">
        <v>447</v>
      </c>
      <c r="AB153" s="235">
        <f t="shared" si="245"/>
        <v>47.5</v>
      </c>
      <c r="AC153" s="270">
        <f t="shared" si="246"/>
        <v>48</v>
      </c>
      <c r="AD153" s="366">
        <f t="shared" si="247"/>
        <v>147</v>
      </c>
      <c r="AE153" s="235">
        <f t="shared" si="248"/>
        <v>206.3</v>
      </c>
      <c r="AF153" s="710">
        <v>351</v>
      </c>
      <c r="AG153" s="589">
        <v>594</v>
      </c>
      <c r="AH153" s="235">
        <f t="shared" si="249"/>
        <v>69.2</v>
      </c>
    </row>
    <row r="154" spans="1:34">
      <c r="A154" s="3"/>
      <c r="B154" s="39" t="s">
        <v>50</v>
      </c>
      <c r="C154" s="40">
        <v>992</v>
      </c>
      <c r="D154" s="40">
        <v>1602</v>
      </c>
      <c r="E154" s="40">
        <v>1385</v>
      </c>
      <c r="F154" s="40">
        <v>874</v>
      </c>
      <c r="G154" s="608">
        <v>1002</v>
      </c>
      <c r="H154" s="630">
        <v>70</v>
      </c>
      <c r="I154" s="589">
        <v>56</v>
      </c>
      <c r="J154" s="235">
        <f t="shared" si="233"/>
        <v>-20</v>
      </c>
      <c r="K154" s="270">
        <f t="shared" si="234"/>
        <v>44</v>
      </c>
      <c r="L154" s="366">
        <f t="shared" si="235"/>
        <v>87</v>
      </c>
      <c r="M154" s="235">
        <f t="shared" si="236"/>
        <v>97.7</v>
      </c>
      <c r="N154" s="589">
        <v>114</v>
      </c>
      <c r="O154" s="589">
        <v>143</v>
      </c>
      <c r="P154" s="235">
        <f t="shared" si="237"/>
        <v>25.4</v>
      </c>
      <c r="Q154" s="270">
        <f t="shared" si="238"/>
        <v>85</v>
      </c>
      <c r="R154" s="366">
        <f t="shared" si="239"/>
        <v>100</v>
      </c>
      <c r="S154" s="235">
        <f t="shared" si="240"/>
        <v>17.600000000000001</v>
      </c>
      <c r="T154" s="710">
        <v>199</v>
      </c>
      <c r="U154" s="589">
        <v>243</v>
      </c>
      <c r="V154" s="235">
        <f t="shared" si="241"/>
        <v>22.1</v>
      </c>
      <c r="W154" s="270">
        <f t="shared" si="242"/>
        <v>104</v>
      </c>
      <c r="X154" s="366">
        <f t="shared" si="243"/>
        <v>191</v>
      </c>
      <c r="Y154" s="235">
        <f t="shared" si="244"/>
        <v>83.7</v>
      </c>
      <c r="Z154" s="719">
        <v>303</v>
      </c>
      <c r="AA154" s="630">
        <v>434</v>
      </c>
      <c r="AB154" s="235">
        <f t="shared" si="245"/>
        <v>43.2</v>
      </c>
      <c r="AC154" s="578">
        <f t="shared" ref="AC154:AC170" si="250">AF154-Z154</f>
        <v>66</v>
      </c>
      <c r="AD154" s="589">
        <f t="shared" ref="AD154:AD170" si="251">AG154-AA154</f>
        <v>74</v>
      </c>
      <c r="AE154" s="571">
        <f t="shared" ref="AE154:AE168" si="252">ROUND(((AD154/AC154-1)*100), 1)</f>
        <v>12.1</v>
      </c>
      <c r="AF154" s="710">
        <v>369</v>
      </c>
      <c r="AG154" s="589">
        <v>508</v>
      </c>
      <c r="AH154" s="235">
        <f t="shared" si="249"/>
        <v>37.700000000000003</v>
      </c>
    </row>
    <row r="155" spans="1:34">
      <c r="A155" s="3"/>
      <c r="B155" s="39" t="s">
        <v>125</v>
      </c>
      <c r="C155" s="40">
        <v>336</v>
      </c>
      <c r="D155" s="40">
        <v>252</v>
      </c>
      <c r="E155" s="40">
        <v>342</v>
      </c>
      <c r="F155" s="40">
        <v>644</v>
      </c>
      <c r="G155" s="608">
        <v>831</v>
      </c>
      <c r="H155" s="630">
        <v>56</v>
      </c>
      <c r="I155" s="589">
        <v>21</v>
      </c>
      <c r="J155" s="235">
        <f t="shared" si="233"/>
        <v>-62.5</v>
      </c>
      <c r="K155" s="270">
        <f t="shared" si="234"/>
        <v>68</v>
      </c>
      <c r="L155" s="366">
        <f t="shared" si="235"/>
        <v>19</v>
      </c>
      <c r="M155" s="235">
        <f t="shared" si="236"/>
        <v>-72.099999999999994</v>
      </c>
      <c r="N155" s="589">
        <v>124</v>
      </c>
      <c r="O155" s="589">
        <v>40</v>
      </c>
      <c r="P155" s="235">
        <f t="shared" si="237"/>
        <v>-67.7</v>
      </c>
      <c r="Q155" s="270">
        <f t="shared" si="238"/>
        <v>123</v>
      </c>
      <c r="R155" s="366">
        <f t="shared" si="239"/>
        <v>22</v>
      </c>
      <c r="S155" s="571">
        <f t="shared" si="240"/>
        <v>-82.1</v>
      </c>
      <c r="T155" s="710">
        <v>247</v>
      </c>
      <c r="U155" s="589">
        <v>62</v>
      </c>
      <c r="V155" s="571">
        <f t="shared" si="241"/>
        <v>-74.900000000000006</v>
      </c>
      <c r="W155" s="270">
        <f t="shared" si="242"/>
        <v>9</v>
      </c>
      <c r="X155" s="366">
        <f t="shared" si="243"/>
        <v>17</v>
      </c>
      <c r="Y155" s="235">
        <f t="shared" si="244"/>
        <v>88.9</v>
      </c>
      <c r="Z155" s="719">
        <v>256</v>
      </c>
      <c r="AA155" s="630">
        <v>79</v>
      </c>
      <c r="AB155" s="235">
        <f t="shared" si="245"/>
        <v>-69.099999999999994</v>
      </c>
      <c r="AC155" s="578">
        <f t="shared" si="250"/>
        <v>24</v>
      </c>
      <c r="AD155" s="589">
        <f t="shared" si="251"/>
        <v>10</v>
      </c>
      <c r="AE155" s="571">
        <f t="shared" si="252"/>
        <v>-58.3</v>
      </c>
      <c r="AF155" s="710">
        <v>280</v>
      </c>
      <c r="AG155" s="589">
        <v>89</v>
      </c>
      <c r="AH155" s="235">
        <f t="shared" si="249"/>
        <v>-68.2</v>
      </c>
    </row>
    <row r="156" spans="1:34">
      <c r="A156" s="3"/>
      <c r="B156" s="39" t="s">
        <v>53</v>
      </c>
      <c r="C156" s="40">
        <v>1188</v>
      </c>
      <c r="D156" s="40">
        <v>792</v>
      </c>
      <c r="E156" s="40">
        <v>691</v>
      </c>
      <c r="F156" s="40">
        <v>778</v>
      </c>
      <c r="G156" s="608">
        <v>728</v>
      </c>
      <c r="H156" s="630">
        <v>42</v>
      </c>
      <c r="I156" s="589">
        <v>65</v>
      </c>
      <c r="J156" s="235">
        <f t="shared" si="233"/>
        <v>54.8</v>
      </c>
      <c r="K156" s="270">
        <f t="shared" si="234"/>
        <v>13</v>
      </c>
      <c r="L156" s="366">
        <f t="shared" si="235"/>
        <v>43</v>
      </c>
      <c r="M156" s="235">
        <f t="shared" si="236"/>
        <v>230.8</v>
      </c>
      <c r="N156" s="589">
        <v>55</v>
      </c>
      <c r="O156" s="589">
        <v>108</v>
      </c>
      <c r="P156" s="235">
        <f t="shared" si="237"/>
        <v>96.4</v>
      </c>
      <c r="Q156" s="270">
        <f t="shared" si="238"/>
        <v>64</v>
      </c>
      <c r="R156" s="366">
        <f t="shared" si="239"/>
        <v>38</v>
      </c>
      <c r="S156" s="571">
        <f t="shared" si="240"/>
        <v>-40.6</v>
      </c>
      <c r="T156" s="710">
        <v>119</v>
      </c>
      <c r="U156" s="589">
        <v>146</v>
      </c>
      <c r="V156" s="571">
        <f t="shared" si="241"/>
        <v>22.7</v>
      </c>
      <c r="W156" s="270">
        <f t="shared" si="242"/>
        <v>81</v>
      </c>
      <c r="X156" s="366">
        <f t="shared" si="243"/>
        <v>47</v>
      </c>
      <c r="Y156" s="235">
        <f t="shared" si="244"/>
        <v>-42</v>
      </c>
      <c r="Z156" s="719">
        <v>200</v>
      </c>
      <c r="AA156" s="630">
        <v>193</v>
      </c>
      <c r="AB156" s="235">
        <f t="shared" si="245"/>
        <v>-3.5</v>
      </c>
      <c r="AC156" s="578">
        <f t="shared" si="250"/>
        <v>77</v>
      </c>
      <c r="AD156" s="589">
        <f t="shared" si="251"/>
        <v>54</v>
      </c>
      <c r="AE156" s="571">
        <f t="shared" si="252"/>
        <v>-29.9</v>
      </c>
      <c r="AF156" s="710">
        <v>277</v>
      </c>
      <c r="AG156" s="589">
        <v>247</v>
      </c>
      <c r="AH156" s="235">
        <f t="shared" si="249"/>
        <v>-10.8</v>
      </c>
    </row>
    <row r="157" spans="1:34">
      <c r="A157" s="3"/>
      <c r="B157" s="39" t="s">
        <v>49</v>
      </c>
      <c r="C157" s="40">
        <v>815</v>
      </c>
      <c r="D157" s="40">
        <v>353</v>
      </c>
      <c r="E157" s="40">
        <v>480</v>
      </c>
      <c r="F157" s="40">
        <v>438</v>
      </c>
      <c r="G157" s="608">
        <v>668</v>
      </c>
      <c r="H157" s="630">
        <v>21</v>
      </c>
      <c r="I157" s="589">
        <v>38</v>
      </c>
      <c r="J157" s="235">
        <f t="shared" si="233"/>
        <v>81</v>
      </c>
      <c r="K157" s="270">
        <f t="shared" si="234"/>
        <v>32</v>
      </c>
      <c r="L157" s="366">
        <f t="shared" si="235"/>
        <v>44</v>
      </c>
      <c r="M157" s="235">
        <f t="shared" si="236"/>
        <v>37.5</v>
      </c>
      <c r="N157" s="589">
        <v>53</v>
      </c>
      <c r="O157" s="589">
        <v>82</v>
      </c>
      <c r="P157" s="235">
        <f t="shared" si="237"/>
        <v>54.7</v>
      </c>
      <c r="Q157" s="270">
        <f t="shared" si="238"/>
        <v>33</v>
      </c>
      <c r="R157" s="366">
        <f t="shared" si="239"/>
        <v>54</v>
      </c>
      <c r="S157" s="571">
        <f t="shared" si="240"/>
        <v>63.6</v>
      </c>
      <c r="T157" s="710">
        <v>86</v>
      </c>
      <c r="U157" s="589">
        <v>136</v>
      </c>
      <c r="V157" s="571">
        <f t="shared" si="241"/>
        <v>58.1</v>
      </c>
      <c r="W157" s="270">
        <f t="shared" si="242"/>
        <v>112</v>
      </c>
      <c r="X157" s="366">
        <f t="shared" si="243"/>
        <v>44</v>
      </c>
      <c r="Y157" s="235">
        <f t="shared" si="244"/>
        <v>-60.7</v>
      </c>
      <c r="Z157" s="719">
        <v>198</v>
      </c>
      <c r="AA157" s="630">
        <v>180</v>
      </c>
      <c r="AB157" s="235">
        <f t="shared" si="245"/>
        <v>-9.1</v>
      </c>
      <c r="AC157" s="578">
        <f t="shared" si="250"/>
        <v>129</v>
      </c>
      <c r="AD157" s="589">
        <f t="shared" si="251"/>
        <v>63</v>
      </c>
      <c r="AE157" s="571">
        <f t="shared" si="252"/>
        <v>-51.2</v>
      </c>
      <c r="AF157" s="710">
        <v>327</v>
      </c>
      <c r="AG157" s="589">
        <v>243</v>
      </c>
      <c r="AH157" s="235">
        <f t="shared" si="249"/>
        <v>-25.7</v>
      </c>
    </row>
    <row r="158" spans="1:34">
      <c r="A158" s="3"/>
      <c r="B158" s="39" t="s">
        <v>99</v>
      </c>
      <c r="C158" s="40">
        <v>431</v>
      </c>
      <c r="D158" s="40">
        <v>421</v>
      </c>
      <c r="E158" s="40">
        <v>282</v>
      </c>
      <c r="F158" s="40">
        <v>224</v>
      </c>
      <c r="G158" s="608">
        <v>424</v>
      </c>
      <c r="H158" s="630">
        <v>9</v>
      </c>
      <c r="I158" s="589">
        <v>21</v>
      </c>
      <c r="J158" s="235">
        <f t="shared" si="233"/>
        <v>133.30000000000001</v>
      </c>
      <c r="K158" s="270">
        <f t="shared" si="234"/>
        <v>12</v>
      </c>
      <c r="L158" s="366">
        <f t="shared" si="235"/>
        <v>9</v>
      </c>
      <c r="M158" s="235">
        <f t="shared" si="236"/>
        <v>-25</v>
      </c>
      <c r="N158" s="589">
        <v>21</v>
      </c>
      <c r="O158" s="589">
        <v>30</v>
      </c>
      <c r="P158" s="235">
        <f t="shared" si="237"/>
        <v>42.9</v>
      </c>
      <c r="Q158" s="270">
        <f t="shared" si="238"/>
        <v>19</v>
      </c>
      <c r="R158" s="366">
        <f t="shared" si="239"/>
        <v>12</v>
      </c>
      <c r="S158" s="571">
        <f t="shared" si="240"/>
        <v>-36.799999999999997</v>
      </c>
      <c r="T158" s="710">
        <v>40</v>
      </c>
      <c r="U158" s="589">
        <v>42</v>
      </c>
      <c r="V158" s="571">
        <f t="shared" si="241"/>
        <v>5</v>
      </c>
      <c r="W158" s="270">
        <f t="shared" si="242"/>
        <v>16</v>
      </c>
      <c r="X158" s="366">
        <f t="shared" si="243"/>
        <v>34</v>
      </c>
      <c r="Y158" s="235">
        <f t="shared" si="244"/>
        <v>112.5</v>
      </c>
      <c r="Z158" s="719">
        <v>56</v>
      </c>
      <c r="AA158" s="630">
        <v>76</v>
      </c>
      <c r="AB158" s="235">
        <f t="shared" si="245"/>
        <v>35.700000000000003</v>
      </c>
      <c r="AC158" s="578">
        <f t="shared" si="250"/>
        <v>6</v>
      </c>
      <c r="AD158" s="589">
        <f t="shared" si="251"/>
        <v>20</v>
      </c>
      <c r="AE158" s="571">
        <f t="shared" si="252"/>
        <v>233.3</v>
      </c>
      <c r="AF158" s="710">
        <v>62</v>
      </c>
      <c r="AG158" s="589">
        <v>96</v>
      </c>
      <c r="AH158" s="235">
        <f t="shared" si="249"/>
        <v>54.8</v>
      </c>
    </row>
    <row r="159" spans="1:34">
      <c r="A159" s="3"/>
      <c r="B159" s="39" t="s">
        <v>91</v>
      </c>
      <c r="C159" s="40">
        <v>821</v>
      </c>
      <c r="D159" s="40">
        <v>840</v>
      </c>
      <c r="E159" s="40">
        <v>618</v>
      </c>
      <c r="F159" s="40">
        <v>442</v>
      </c>
      <c r="G159" s="608">
        <v>359</v>
      </c>
      <c r="H159" s="630">
        <v>18</v>
      </c>
      <c r="I159" s="589">
        <v>15</v>
      </c>
      <c r="J159" s="235">
        <f t="shared" si="233"/>
        <v>-16.7</v>
      </c>
      <c r="K159" s="270">
        <f t="shared" si="234"/>
        <v>30</v>
      </c>
      <c r="L159" s="366">
        <f t="shared" si="235"/>
        <v>19</v>
      </c>
      <c r="M159" s="235">
        <f t="shared" si="236"/>
        <v>-36.700000000000003</v>
      </c>
      <c r="N159" s="589">
        <v>48</v>
      </c>
      <c r="O159" s="589">
        <v>34</v>
      </c>
      <c r="P159" s="235">
        <f t="shared" si="237"/>
        <v>-29.2</v>
      </c>
      <c r="Q159" s="270">
        <f t="shared" si="238"/>
        <v>35</v>
      </c>
      <c r="R159" s="366">
        <f t="shared" si="239"/>
        <v>39</v>
      </c>
      <c r="S159" s="571">
        <f t="shared" si="240"/>
        <v>11.4</v>
      </c>
      <c r="T159" s="710">
        <v>83</v>
      </c>
      <c r="U159" s="589">
        <v>73</v>
      </c>
      <c r="V159" s="571">
        <f t="shared" si="241"/>
        <v>-12</v>
      </c>
      <c r="W159" s="270">
        <f t="shared" si="242"/>
        <v>45</v>
      </c>
      <c r="X159" s="366">
        <f t="shared" si="243"/>
        <v>34</v>
      </c>
      <c r="Y159" s="235">
        <f t="shared" si="244"/>
        <v>-24.4</v>
      </c>
      <c r="Z159" s="719">
        <v>128</v>
      </c>
      <c r="AA159" s="630">
        <v>107</v>
      </c>
      <c r="AB159" s="235">
        <f t="shared" si="245"/>
        <v>-16.399999999999999</v>
      </c>
      <c r="AC159" s="578">
        <f t="shared" si="250"/>
        <v>7</v>
      </c>
      <c r="AD159" s="589">
        <f t="shared" si="251"/>
        <v>16</v>
      </c>
      <c r="AE159" s="571">
        <f t="shared" si="252"/>
        <v>128.6</v>
      </c>
      <c r="AF159" s="710">
        <v>135</v>
      </c>
      <c r="AG159" s="589">
        <v>123</v>
      </c>
      <c r="AH159" s="235">
        <f t="shared" si="249"/>
        <v>-8.9</v>
      </c>
    </row>
    <row r="160" spans="1:34">
      <c r="A160" s="3"/>
      <c r="B160" s="39" t="s">
        <v>243</v>
      </c>
      <c r="C160" s="40">
        <v>644</v>
      </c>
      <c r="D160" s="40">
        <v>552</v>
      </c>
      <c r="E160" s="40">
        <v>543</v>
      </c>
      <c r="F160" s="40">
        <v>169</v>
      </c>
      <c r="G160" s="608">
        <v>333</v>
      </c>
      <c r="H160" s="630">
        <v>1</v>
      </c>
      <c r="I160" s="589">
        <v>1</v>
      </c>
      <c r="J160" s="235">
        <f t="shared" si="233"/>
        <v>0</v>
      </c>
      <c r="K160" s="270">
        <f t="shared" si="234"/>
        <v>20</v>
      </c>
      <c r="L160" s="366">
        <f t="shared" si="235"/>
        <v>38</v>
      </c>
      <c r="M160" s="235">
        <f t="shared" si="236"/>
        <v>90</v>
      </c>
      <c r="N160" s="589">
        <v>21</v>
      </c>
      <c r="O160" s="589">
        <v>39</v>
      </c>
      <c r="P160" s="235">
        <f t="shared" si="237"/>
        <v>85.7</v>
      </c>
      <c r="Q160" s="270">
        <f t="shared" si="238"/>
        <v>20</v>
      </c>
      <c r="R160" s="366">
        <f t="shared" si="239"/>
        <v>43</v>
      </c>
      <c r="S160" s="571">
        <f t="shared" si="240"/>
        <v>115</v>
      </c>
      <c r="T160" s="710">
        <v>41</v>
      </c>
      <c r="U160" s="589">
        <v>82</v>
      </c>
      <c r="V160" s="571">
        <f t="shared" si="241"/>
        <v>100</v>
      </c>
      <c r="W160" s="578">
        <f t="shared" ref="W160:W169" si="253">Z160-T160</f>
        <v>0</v>
      </c>
      <c r="X160" s="589">
        <f t="shared" ref="X160:X169" si="254">AA160-U160</f>
        <v>58</v>
      </c>
      <c r="Y160" s="579">
        <v>0</v>
      </c>
      <c r="Z160" s="719">
        <v>41</v>
      </c>
      <c r="AA160" s="630">
        <v>140</v>
      </c>
      <c r="AB160" s="235">
        <f t="shared" si="245"/>
        <v>241.5</v>
      </c>
      <c r="AC160" s="578">
        <f t="shared" si="250"/>
        <v>29</v>
      </c>
      <c r="AD160" s="589">
        <f t="shared" si="251"/>
        <v>0</v>
      </c>
      <c r="AE160" s="571">
        <f t="shared" si="252"/>
        <v>-100</v>
      </c>
      <c r="AF160" s="710">
        <v>70</v>
      </c>
      <c r="AG160" s="589">
        <v>140</v>
      </c>
      <c r="AH160" s="235">
        <f t="shared" si="249"/>
        <v>100</v>
      </c>
    </row>
    <row r="161" spans="1:34">
      <c r="A161" s="3"/>
      <c r="B161" s="39" t="s">
        <v>65</v>
      </c>
      <c r="C161" s="40">
        <v>210</v>
      </c>
      <c r="D161" s="40">
        <v>184</v>
      </c>
      <c r="E161" s="40">
        <v>254</v>
      </c>
      <c r="F161" s="40">
        <v>182</v>
      </c>
      <c r="G161" s="608">
        <v>280</v>
      </c>
      <c r="H161" s="630">
        <v>15</v>
      </c>
      <c r="I161" s="589">
        <v>16</v>
      </c>
      <c r="J161" s="235">
        <f t="shared" si="233"/>
        <v>6.7</v>
      </c>
      <c r="K161" s="270">
        <f t="shared" si="234"/>
        <v>15</v>
      </c>
      <c r="L161" s="366">
        <f t="shared" si="235"/>
        <v>32</v>
      </c>
      <c r="M161" s="235">
        <f t="shared" si="236"/>
        <v>113.3</v>
      </c>
      <c r="N161" s="589">
        <v>30</v>
      </c>
      <c r="O161" s="589">
        <v>48</v>
      </c>
      <c r="P161" s="235">
        <f t="shared" si="237"/>
        <v>60</v>
      </c>
      <c r="Q161" s="578">
        <f t="shared" ref="Q161:Q171" si="255">T161-N161</f>
        <v>25</v>
      </c>
      <c r="R161" s="589">
        <f t="shared" ref="R161:R171" si="256">U161-O161</f>
        <v>24</v>
      </c>
      <c r="S161" s="571">
        <f t="shared" ref="S161:S170" si="257">ROUND(((R161/Q161-1)*100), 1)</f>
        <v>-4</v>
      </c>
      <c r="T161" s="710">
        <v>55</v>
      </c>
      <c r="U161" s="589">
        <v>72</v>
      </c>
      <c r="V161" s="571">
        <f t="shared" si="241"/>
        <v>30.9</v>
      </c>
      <c r="W161" s="578">
        <f t="shared" si="253"/>
        <v>18</v>
      </c>
      <c r="X161" s="589">
        <f t="shared" si="254"/>
        <v>23</v>
      </c>
      <c r="Y161" s="571">
        <f t="shared" ref="Y161:Y168" si="258">ROUND(((X161/W161-1)*100), 1)</f>
        <v>27.8</v>
      </c>
      <c r="Z161" s="719">
        <v>73</v>
      </c>
      <c r="AA161" s="630">
        <v>95</v>
      </c>
      <c r="AB161" s="235">
        <f t="shared" si="245"/>
        <v>30.1</v>
      </c>
      <c r="AC161" s="578">
        <f t="shared" si="250"/>
        <v>38</v>
      </c>
      <c r="AD161" s="589">
        <f t="shared" si="251"/>
        <v>23</v>
      </c>
      <c r="AE161" s="571">
        <f t="shared" si="252"/>
        <v>-39.5</v>
      </c>
      <c r="AF161" s="710">
        <v>111</v>
      </c>
      <c r="AG161" s="589">
        <v>118</v>
      </c>
      <c r="AH161" s="235">
        <f t="shared" si="249"/>
        <v>6.3</v>
      </c>
    </row>
    <row r="162" spans="1:34">
      <c r="A162" s="3"/>
      <c r="B162" s="39" t="s">
        <v>96</v>
      </c>
      <c r="C162" s="40">
        <v>292</v>
      </c>
      <c r="D162" s="40">
        <v>405</v>
      </c>
      <c r="E162" s="40">
        <v>392</v>
      </c>
      <c r="F162" s="40">
        <v>217</v>
      </c>
      <c r="G162" s="608">
        <v>262</v>
      </c>
      <c r="H162" s="630">
        <v>28</v>
      </c>
      <c r="I162" s="589">
        <v>16</v>
      </c>
      <c r="J162" s="235">
        <f t="shared" si="233"/>
        <v>-42.9</v>
      </c>
      <c r="K162" s="270">
        <f t="shared" si="234"/>
        <v>21</v>
      </c>
      <c r="L162" s="366">
        <f t="shared" si="235"/>
        <v>27</v>
      </c>
      <c r="M162" s="235">
        <f t="shared" si="236"/>
        <v>28.6</v>
      </c>
      <c r="N162" s="589">
        <v>49</v>
      </c>
      <c r="O162" s="589">
        <v>43</v>
      </c>
      <c r="P162" s="235">
        <f t="shared" si="237"/>
        <v>-12.2</v>
      </c>
      <c r="Q162" s="578">
        <f t="shared" si="255"/>
        <v>21</v>
      </c>
      <c r="R162" s="589">
        <f t="shared" si="256"/>
        <v>40</v>
      </c>
      <c r="S162" s="571">
        <f t="shared" si="257"/>
        <v>90.5</v>
      </c>
      <c r="T162" s="710">
        <v>70</v>
      </c>
      <c r="U162" s="589">
        <v>83</v>
      </c>
      <c r="V162" s="571">
        <f t="shared" si="241"/>
        <v>18.600000000000001</v>
      </c>
      <c r="W162" s="578">
        <f t="shared" si="253"/>
        <v>18</v>
      </c>
      <c r="X162" s="589">
        <f t="shared" si="254"/>
        <v>45</v>
      </c>
      <c r="Y162" s="571">
        <f t="shared" si="258"/>
        <v>150</v>
      </c>
      <c r="Z162" s="719">
        <v>88</v>
      </c>
      <c r="AA162" s="630">
        <v>128</v>
      </c>
      <c r="AB162" s="235">
        <f t="shared" si="245"/>
        <v>45.5</v>
      </c>
      <c r="AC162" s="578">
        <f t="shared" si="250"/>
        <v>1</v>
      </c>
      <c r="AD162" s="589">
        <f t="shared" si="251"/>
        <v>28</v>
      </c>
      <c r="AE162" s="571">
        <f t="shared" si="252"/>
        <v>2700</v>
      </c>
      <c r="AF162" s="710">
        <v>89</v>
      </c>
      <c r="AG162" s="589">
        <v>156</v>
      </c>
      <c r="AH162" s="235">
        <f t="shared" si="249"/>
        <v>75.3</v>
      </c>
    </row>
    <row r="163" spans="1:34" s="605" customFormat="1">
      <c r="A163" s="675"/>
      <c r="B163" s="611" t="s">
        <v>565</v>
      </c>
      <c r="C163" s="608">
        <v>16</v>
      </c>
      <c r="D163" s="608">
        <v>27</v>
      </c>
      <c r="E163" s="608">
        <v>30</v>
      </c>
      <c r="F163" s="608">
        <v>30</v>
      </c>
      <c r="G163" s="608">
        <v>208</v>
      </c>
      <c r="H163" s="630">
        <v>1</v>
      </c>
      <c r="I163" s="589">
        <v>67</v>
      </c>
      <c r="J163" s="571">
        <f t="shared" si="233"/>
        <v>6600</v>
      </c>
      <c r="K163" s="578">
        <f t="shared" ref="K163:K167" si="259">N163-H163</f>
        <v>5</v>
      </c>
      <c r="L163" s="589">
        <f t="shared" ref="L163:L167" si="260">O163-I163</f>
        <v>56</v>
      </c>
      <c r="M163" s="571">
        <f t="shared" ref="M163:M169" si="261">ROUND(((L163/K163-1)*100), 1)</f>
        <v>1020</v>
      </c>
      <c r="N163" s="589">
        <v>6</v>
      </c>
      <c r="O163" s="589">
        <v>123</v>
      </c>
      <c r="P163" s="571">
        <f t="shared" si="237"/>
        <v>1950</v>
      </c>
      <c r="Q163" s="578">
        <f t="shared" si="255"/>
        <v>15</v>
      </c>
      <c r="R163" s="589">
        <f t="shared" si="256"/>
        <v>68</v>
      </c>
      <c r="S163" s="571">
        <f t="shared" si="257"/>
        <v>353.3</v>
      </c>
      <c r="T163" s="710">
        <v>21</v>
      </c>
      <c r="U163" s="589">
        <v>191</v>
      </c>
      <c r="V163" s="571">
        <f t="shared" si="241"/>
        <v>809.5</v>
      </c>
      <c r="W163" s="578">
        <f t="shared" si="253"/>
        <v>22</v>
      </c>
      <c r="X163" s="589">
        <f t="shared" si="254"/>
        <v>54</v>
      </c>
      <c r="Y163" s="571">
        <f t="shared" si="258"/>
        <v>145.5</v>
      </c>
      <c r="Z163" s="719">
        <v>43</v>
      </c>
      <c r="AA163" s="630">
        <v>245</v>
      </c>
      <c r="AB163" s="571">
        <f t="shared" si="245"/>
        <v>469.8</v>
      </c>
      <c r="AC163" s="578">
        <f t="shared" si="250"/>
        <v>14</v>
      </c>
      <c r="AD163" s="589">
        <f t="shared" si="251"/>
        <v>31</v>
      </c>
      <c r="AE163" s="571">
        <f t="shared" si="252"/>
        <v>121.4</v>
      </c>
      <c r="AF163" s="710">
        <v>57</v>
      </c>
      <c r="AG163" s="589">
        <v>276</v>
      </c>
      <c r="AH163" s="571">
        <f t="shared" si="249"/>
        <v>384.2</v>
      </c>
    </row>
    <row r="164" spans="1:34">
      <c r="A164" s="3"/>
      <c r="B164" s="39" t="s">
        <v>105</v>
      </c>
      <c r="C164" s="40">
        <v>115</v>
      </c>
      <c r="D164" s="40">
        <v>108</v>
      </c>
      <c r="E164" s="40">
        <v>112</v>
      </c>
      <c r="F164" s="40">
        <v>109</v>
      </c>
      <c r="G164" s="608">
        <v>202</v>
      </c>
      <c r="H164" s="630">
        <v>9</v>
      </c>
      <c r="I164" s="589">
        <v>29</v>
      </c>
      <c r="J164" s="571">
        <f t="shared" si="233"/>
        <v>222.2</v>
      </c>
      <c r="K164" s="578">
        <f t="shared" si="259"/>
        <v>16</v>
      </c>
      <c r="L164" s="589">
        <f t="shared" si="260"/>
        <v>7</v>
      </c>
      <c r="M164" s="571">
        <f t="shared" si="261"/>
        <v>-56.3</v>
      </c>
      <c r="N164" s="589">
        <v>25</v>
      </c>
      <c r="O164" s="589">
        <v>36</v>
      </c>
      <c r="P164" s="235">
        <f>ROUND(((O164/N164-1)*100), 1)</f>
        <v>44</v>
      </c>
      <c r="Q164" s="578">
        <f t="shared" si="255"/>
        <v>6</v>
      </c>
      <c r="R164" s="589">
        <f t="shared" si="256"/>
        <v>11</v>
      </c>
      <c r="S164" s="571">
        <f t="shared" si="257"/>
        <v>83.3</v>
      </c>
      <c r="T164" s="710">
        <v>31</v>
      </c>
      <c r="U164" s="589">
        <v>47</v>
      </c>
      <c r="V164" s="571">
        <f t="shared" si="241"/>
        <v>51.6</v>
      </c>
      <c r="W164" s="578">
        <f t="shared" si="253"/>
        <v>1</v>
      </c>
      <c r="X164" s="589">
        <f t="shared" si="254"/>
        <v>12</v>
      </c>
      <c r="Y164" s="571">
        <f t="shared" si="258"/>
        <v>1100</v>
      </c>
      <c r="Z164" s="719">
        <v>32</v>
      </c>
      <c r="AA164" s="630">
        <v>59</v>
      </c>
      <c r="AB164" s="235">
        <f t="shared" ref="AB164:AB170" si="262">ROUND(((AA164/Z164-1)*100), 1)</f>
        <v>84.4</v>
      </c>
      <c r="AC164" s="578">
        <f t="shared" si="250"/>
        <v>20</v>
      </c>
      <c r="AD164" s="589">
        <f t="shared" si="251"/>
        <v>18</v>
      </c>
      <c r="AE164" s="571">
        <f t="shared" si="252"/>
        <v>-10</v>
      </c>
      <c r="AF164" s="710">
        <v>52</v>
      </c>
      <c r="AG164" s="589">
        <v>77</v>
      </c>
      <c r="AH164" s="571">
        <f t="shared" si="249"/>
        <v>48.1</v>
      </c>
    </row>
    <row r="165" spans="1:34">
      <c r="A165" s="3"/>
      <c r="B165" s="39" t="s">
        <v>104</v>
      </c>
      <c r="C165" s="40">
        <v>378</v>
      </c>
      <c r="D165" s="40">
        <v>390</v>
      </c>
      <c r="E165" s="40">
        <v>295</v>
      </c>
      <c r="F165" s="40">
        <v>282</v>
      </c>
      <c r="G165" s="608">
        <v>175</v>
      </c>
      <c r="H165" s="630">
        <v>27</v>
      </c>
      <c r="I165" s="589">
        <v>19</v>
      </c>
      <c r="J165" s="571">
        <f t="shared" si="233"/>
        <v>-29.6</v>
      </c>
      <c r="K165" s="578">
        <f t="shared" si="259"/>
        <v>26</v>
      </c>
      <c r="L165" s="589">
        <f t="shared" si="260"/>
        <v>10</v>
      </c>
      <c r="M165" s="571">
        <f t="shared" si="261"/>
        <v>-61.5</v>
      </c>
      <c r="N165" s="589">
        <v>53</v>
      </c>
      <c r="O165" s="589">
        <v>29</v>
      </c>
      <c r="P165" s="235">
        <f>ROUND(((O165/N165-1)*100), 1)</f>
        <v>-45.3</v>
      </c>
      <c r="Q165" s="578">
        <f t="shared" si="255"/>
        <v>10</v>
      </c>
      <c r="R165" s="589">
        <f t="shared" si="256"/>
        <v>11</v>
      </c>
      <c r="S165" s="571">
        <f t="shared" si="257"/>
        <v>10</v>
      </c>
      <c r="T165" s="710">
        <v>63</v>
      </c>
      <c r="U165" s="589">
        <v>40</v>
      </c>
      <c r="V165" s="571">
        <f t="shared" si="241"/>
        <v>-36.5</v>
      </c>
      <c r="W165" s="578">
        <f t="shared" si="253"/>
        <v>6</v>
      </c>
      <c r="X165" s="589">
        <f t="shared" si="254"/>
        <v>20</v>
      </c>
      <c r="Y165" s="571">
        <f t="shared" si="258"/>
        <v>233.3</v>
      </c>
      <c r="Z165" s="719">
        <v>69</v>
      </c>
      <c r="AA165" s="630">
        <v>60</v>
      </c>
      <c r="AB165" s="235">
        <f t="shared" si="262"/>
        <v>-13</v>
      </c>
      <c r="AC165" s="578">
        <f t="shared" si="250"/>
        <v>30</v>
      </c>
      <c r="AD165" s="589">
        <f t="shared" si="251"/>
        <v>20</v>
      </c>
      <c r="AE165" s="571">
        <f t="shared" si="252"/>
        <v>-33.299999999999997</v>
      </c>
      <c r="AF165" s="710">
        <v>99</v>
      </c>
      <c r="AG165" s="589">
        <v>80</v>
      </c>
      <c r="AH165" s="235">
        <f t="shared" ref="AH165:AH170" si="263">ROUND(((AG165/AF165-1)*100), 1)</f>
        <v>-19.2</v>
      </c>
    </row>
    <row r="166" spans="1:34">
      <c r="A166" s="3"/>
      <c r="B166" s="39" t="s">
        <v>102</v>
      </c>
      <c r="C166" s="40">
        <v>227</v>
      </c>
      <c r="D166" s="40">
        <v>292</v>
      </c>
      <c r="E166" s="40">
        <v>319</v>
      </c>
      <c r="F166" s="40">
        <v>332</v>
      </c>
      <c r="G166" s="608">
        <v>152</v>
      </c>
      <c r="H166" s="630">
        <v>0</v>
      </c>
      <c r="I166" s="589">
        <v>26</v>
      </c>
      <c r="J166" s="579">
        <v>0</v>
      </c>
      <c r="K166" s="578">
        <f t="shared" si="259"/>
        <v>24</v>
      </c>
      <c r="L166" s="589">
        <f t="shared" si="260"/>
        <v>26</v>
      </c>
      <c r="M166" s="571">
        <f t="shared" si="261"/>
        <v>8.3000000000000007</v>
      </c>
      <c r="N166" s="589">
        <v>24</v>
      </c>
      <c r="O166" s="589">
        <v>52</v>
      </c>
      <c r="P166" s="235">
        <f>ROUND(((O166/N166-1)*100), 1)</f>
        <v>116.7</v>
      </c>
      <c r="Q166" s="578">
        <f t="shared" si="255"/>
        <v>0</v>
      </c>
      <c r="R166" s="589">
        <f t="shared" si="256"/>
        <v>25</v>
      </c>
      <c r="S166" s="579">
        <v>0</v>
      </c>
      <c r="T166" s="710">
        <v>24</v>
      </c>
      <c r="U166" s="589">
        <v>77</v>
      </c>
      <c r="V166" s="571">
        <f t="shared" si="241"/>
        <v>220.8</v>
      </c>
      <c r="W166" s="578">
        <f t="shared" si="253"/>
        <v>15</v>
      </c>
      <c r="X166" s="589">
        <f t="shared" si="254"/>
        <v>26</v>
      </c>
      <c r="Y166" s="571">
        <f t="shared" si="258"/>
        <v>73.3</v>
      </c>
      <c r="Z166" s="719">
        <v>39</v>
      </c>
      <c r="AA166" s="630">
        <v>103</v>
      </c>
      <c r="AB166" s="235">
        <f t="shared" si="262"/>
        <v>164.1</v>
      </c>
      <c r="AC166" s="578">
        <f t="shared" si="250"/>
        <v>1</v>
      </c>
      <c r="AD166" s="589">
        <f t="shared" si="251"/>
        <v>52</v>
      </c>
      <c r="AE166" s="571">
        <f t="shared" si="252"/>
        <v>5100</v>
      </c>
      <c r="AF166" s="710">
        <v>40</v>
      </c>
      <c r="AG166" s="589">
        <v>155</v>
      </c>
      <c r="AH166" s="235">
        <f t="shared" si="263"/>
        <v>287.5</v>
      </c>
    </row>
    <row r="167" spans="1:34">
      <c r="A167" s="3"/>
      <c r="B167" s="39" t="s">
        <v>94</v>
      </c>
      <c r="C167" s="40">
        <v>1136</v>
      </c>
      <c r="D167" s="40">
        <v>762</v>
      </c>
      <c r="E167" s="40">
        <v>176</v>
      </c>
      <c r="F167" s="40">
        <v>124</v>
      </c>
      <c r="G167" s="608">
        <v>134</v>
      </c>
      <c r="H167" s="630">
        <v>2</v>
      </c>
      <c r="I167" s="589">
        <v>7</v>
      </c>
      <c r="J167" s="571">
        <f t="shared" si="233"/>
        <v>250</v>
      </c>
      <c r="K167" s="578">
        <f t="shared" si="259"/>
        <v>14</v>
      </c>
      <c r="L167" s="589">
        <f t="shared" si="260"/>
        <v>3</v>
      </c>
      <c r="M167" s="571">
        <f t="shared" si="261"/>
        <v>-78.599999999999994</v>
      </c>
      <c r="N167" s="589">
        <v>16</v>
      </c>
      <c r="O167" s="589">
        <v>10</v>
      </c>
      <c r="P167" s="235">
        <f>ROUND(((O167/N167-1)*100), 1)</f>
        <v>-37.5</v>
      </c>
      <c r="Q167" s="578">
        <f t="shared" si="255"/>
        <v>4</v>
      </c>
      <c r="R167" s="589">
        <f t="shared" si="256"/>
        <v>18</v>
      </c>
      <c r="S167" s="571">
        <f t="shared" si="257"/>
        <v>350</v>
      </c>
      <c r="T167" s="710">
        <v>20</v>
      </c>
      <c r="U167" s="589">
        <v>28</v>
      </c>
      <c r="V167" s="571">
        <f t="shared" si="241"/>
        <v>40</v>
      </c>
      <c r="W167" s="578">
        <f t="shared" si="253"/>
        <v>3</v>
      </c>
      <c r="X167" s="589">
        <f t="shared" si="254"/>
        <v>20</v>
      </c>
      <c r="Y167" s="571">
        <f t="shared" si="258"/>
        <v>566.70000000000005</v>
      </c>
      <c r="Z167" s="719">
        <v>23</v>
      </c>
      <c r="AA167" s="630">
        <v>48</v>
      </c>
      <c r="AB167" s="235">
        <f t="shared" si="262"/>
        <v>108.7</v>
      </c>
      <c r="AC167" s="578">
        <f t="shared" si="250"/>
        <v>24</v>
      </c>
      <c r="AD167" s="589">
        <f t="shared" si="251"/>
        <v>14</v>
      </c>
      <c r="AE167" s="571">
        <f t="shared" si="252"/>
        <v>-41.7</v>
      </c>
      <c r="AF167" s="710">
        <v>47</v>
      </c>
      <c r="AG167" s="589">
        <v>62</v>
      </c>
      <c r="AH167" s="235">
        <f t="shared" si="263"/>
        <v>31.9</v>
      </c>
    </row>
    <row r="168" spans="1:34">
      <c r="A168" s="3"/>
      <c r="B168" s="39" t="s">
        <v>79</v>
      </c>
      <c r="C168" s="40">
        <v>116</v>
      </c>
      <c r="D168" s="40">
        <v>192</v>
      </c>
      <c r="E168" s="40">
        <v>115</v>
      </c>
      <c r="F168" s="40">
        <v>46</v>
      </c>
      <c r="G168" s="608">
        <v>95</v>
      </c>
      <c r="H168" s="630">
        <v>9</v>
      </c>
      <c r="I168" s="589">
        <v>16</v>
      </c>
      <c r="J168" s="571">
        <f t="shared" si="233"/>
        <v>77.8</v>
      </c>
      <c r="K168" s="270">
        <f t="shared" ref="K168:L171" si="264">N168-H168</f>
        <v>3</v>
      </c>
      <c r="L168" s="366">
        <f t="shared" si="264"/>
        <v>2</v>
      </c>
      <c r="M168" s="571">
        <f t="shared" si="261"/>
        <v>-33.299999999999997</v>
      </c>
      <c r="N168" s="589">
        <v>12</v>
      </c>
      <c r="O168" s="589">
        <v>18</v>
      </c>
      <c r="P168" s="571">
        <f>ROUND(((O168/N168-1)*100), 1)</f>
        <v>50</v>
      </c>
      <c r="Q168" s="578">
        <f t="shared" si="255"/>
        <v>0</v>
      </c>
      <c r="R168" s="589">
        <f t="shared" si="256"/>
        <v>6</v>
      </c>
      <c r="S168" s="579">
        <v>0</v>
      </c>
      <c r="T168" s="710">
        <v>12</v>
      </c>
      <c r="U168" s="589">
        <v>24</v>
      </c>
      <c r="V168" s="571">
        <f t="shared" si="241"/>
        <v>100</v>
      </c>
      <c r="W168" s="578">
        <f t="shared" si="253"/>
        <v>2</v>
      </c>
      <c r="X168" s="589">
        <f t="shared" si="254"/>
        <v>23</v>
      </c>
      <c r="Y168" s="571">
        <f t="shared" si="258"/>
        <v>1050</v>
      </c>
      <c r="Z168" s="719">
        <v>14</v>
      </c>
      <c r="AA168" s="630">
        <v>47</v>
      </c>
      <c r="AB168" s="235">
        <f t="shared" si="262"/>
        <v>235.7</v>
      </c>
      <c r="AC168" s="578">
        <f t="shared" si="250"/>
        <v>5</v>
      </c>
      <c r="AD168" s="589">
        <f t="shared" si="251"/>
        <v>10</v>
      </c>
      <c r="AE168" s="571">
        <f t="shared" si="252"/>
        <v>100</v>
      </c>
      <c r="AF168" s="710">
        <v>19</v>
      </c>
      <c r="AG168" s="589">
        <v>57</v>
      </c>
      <c r="AH168" s="235">
        <f t="shared" si="263"/>
        <v>200</v>
      </c>
    </row>
    <row r="169" spans="1:34">
      <c r="A169" s="3"/>
      <c r="B169" s="39" t="s">
        <v>57</v>
      </c>
      <c r="C169" s="40">
        <v>206</v>
      </c>
      <c r="D169" s="40">
        <v>187</v>
      </c>
      <c r="E169" s="40">
        <v>126</v>
      </c>
      <c r="F169" s="40">
        <v>64</v>
      </c>
      <c r="G169" s="608">
        <v>74</v>
      </c>
      <c r="H169" s="630">
        <v>1</v>
      </c>
      <c r="I169" s="589">
        <v>8</v>
      </c>
      <c r="J169" s="571">
        <f t="shared" si="233"/>
        <v>700</v>
      </c>
      <c r="K169" s="270">
        <f t="shared" si="264"/>
        <v>20</v>
      </c>
      <c r="L169" s="366">
        <f t="shared" si="264"/>
        <v>25</v>
      </c>
      <c r="M169" s="571">
        <f t="shared" si="261"/>
        <v>25</v>
      </c>
      <c r="N169" s="589">
        <v>21</v>
      </c>
      <c r="O169" s="589">
        <v>33</v>
      </c>
      <c r="P169" s="571">
        <f t="shared" ref="P169" si="265">ROUND(((O169/N169-1)*100), 1)</f>
        <v>57.1</v>
      </c>
      <c r="Q169" s="578">
        <f t="shared" si="255"/>
        <v>3</v>
      </c>
      <c r="R169" s="589">
        <f t="shared" si="256"/>
        <v>6</v>
      </c>
      <c r="S169" s="571">
        <f t="shared" si="257"/>
        <v>100</v>
      </c>
      <c r="T169" s="710">
        <v>24</v>
      </c>
      <c r="U169" s="589">
        <v>39</v>
      </c>
      <c r="V169" s="571">
        <f t="shared" si="241"/>
        <v>62.5</v>
      </c>
      <c r="W169" s="578">
        <f t="shared" si="253"/>
        <v>0</v>
      </c>
      <c r="X169" s="589">
        <f t="shared" si="254"/>
        <v>17</v>
      </c>
      <c r="Y169" s="579">
        <v>0</v>
      </c>
      <c r="Z169" s="719">
        <v>24</v>
      </c>
      <c r="AA169" s="630">
        <v>56</v>
      </c>
      <c r="AB169" s="235">
        <f t="shared" si="262"/>
        <v>133.30000000000001</v>
      </c>
      <c r="AC169" s="578">
        <f t="shared" si="250"/>
        <v>0</v>
      </c>
      <c r="AD169" s="589">
        <f t="shared" si="251"/>
        <v>1</v>
      </c>
      <c r="AE169" s="579">
        <v>0</v>
      </c>
      <c r="AF169" s="710">
        <v>24</v>
      </c>
      <c r="AG169" s="589">
        <v>57</v>
      </c>
      <c r="AH169" s="235">
        <f t="shared" si="263"/>
        <v>137.5</v>
      </c>
    </row>
    <row r="170" spans="1:34">
      <c r="A170" s="3"/>
      <c r="B170" s="39" t="s">
        <v>115</v>
      </c>
      <c r="C170" s="40">
        <v>95</v>
      </c>
      <c r="D170" s="40">
        <v>51</v>
      </c>
      <c r="E170" s="40">
        <v>46</v>
      </c>
      <c r="F170" s="40">
        <v>46</v>
      </c>
      <c r="G170" s="608">
        <v>47</v>
      </c>
      <c r="H170" s="630">
        <v>5</v>
      </c>
      <c r="I170" s="589">
        <v>0</v>
      </c>
      <c r="J170" s="235">
        <f>ROUND(((I170/H170-1)*100), 1)</f>
        <v>-100</v>
      </c>
      <c r="K170" s="270">
        <f t="shared" si="264"/>
        <v>0</v>
      </c>
      <c r="L170" s="366">
        <f t="shared" si="264"/>
        <v>1</v>
      </c>
      <c r="M170" s="579">
        <v>0</v>
      </c>
      <c r="N170" s="589">
        <v>5</v>
      </c>
      <c r="O170" s="589">
        <v>1</v>
      </c>
      <c r="P170" s="235">
        <f>ROUND(((O170/N170-1)*100), 1)</f>
        <v>-80</v>
      </c>
      <c r="Q170" s="578">
        <f t="shared" si="255"/>
        <v>15</v>
      </c>
      <c r="R170" s="589">
        <f t="shared" si="256"/>
        <v>0</v>
      </c>
      <c r="S170" s="571">
        <f t="shared" si="257"/>
        <v>-100</v>
      </c>
      <c r="T170" s="710">
        <v>20</v>
      </c>
      <c r="U170" s="589">
        <v>1</v>
      </c>
      <c r="V170" s="571">
        <f t="shared" si="241"/>
        <v>-95</v>
      </c>
      <c r="W170" s="270">
        <f t="shared" ref="W170:X171" si="266">Z170-T170</f>
        <v>0</v>
      </c>
      <c r="X170" s="366">
        <f t="shared" si="266"/>
        <v>0</v>
      </c>
      <c r="Y170" s="579">
        <v>0</v>
      </c>
      <c r="Z170" s="719">
        <v>20</v>
      </c>
      <c r="AA170" s="630">
        <v>1</v>
      </c>
      <c r="AB170" s="235">
        <f t="shared" si="262"/>
        <v>-95</v>
      </c>
      <c r="AC170" s="578">
        <f t="shared" si="250"/>
        <v>0</v>
      </c>
      <c r="AD170" s="589">
        <f t="shared" si="251"/>
        <v>2</v>
      </c>
      <c r="AE170" s="579">
        <v>0</v>
      </c>
      <c r="AF170" s="710">
        <v>20</v>
      </c>
      <c r="AG170" s="589">
        <v>3</v>
      </c>
      <c r="AH170" s="235">
        <f t="shared" si="263"/>
        <v>-85</v>
      </c>
    </row>
    <row r="171" spans="1:34">
      <c r="A171" s="3"/>
      <c r="B171" s="39" t="s">
        <v>97</v>
      </c>
      <c r="C171" s="40">
        <v>266</v>
      </c>
      <c r="D171" s="40">
        <v>160</v>
      </c>
      <c r="E171" s="40">
        <v>58</v>
      </c>
      <c r="F171" s="40">
        <v>7</v>
      </c>
      <c r="G171" s="608">
        <v>8</v>
      </c>
      <c r="H171" s="630">
        <v>0</v>
      </c>
      <c r="I171" s="589">
        <v>0</v>
      </c>
      <c r="J171" s="171">
        <v>0</v>
      </c>
      <c r="K171" s="270">
        <f t="shared" si="264"/>
        <v>0</v>
      </c>
      <c r="L171" s="366">
        <f t="shared" si="264"/>
        <v>0</v>
      </c>
      <c r="M171" s="171">
        <v>0</v>
      </c>
      <c r="N171" s="589">
        <v>0</v>
      </c>
      <c r="O171" s="589">
        <v>0</v>
      </c>
      <c r="P171" s="171">
        <v>0</v>
      </c>
      <c r="Q171" s="578">
        <f t="shared" si="255"/>
        <v>0</v>
      </c>
      <c r="R171" s="589">
        <f t="shared" si="256"/>
        <v>0</v>
      </c>
      <c r="S171" s="579">
        <v>0</v>
      </c>
      <c r="T171" s="710">
        <v>0</v>
      </c>
      <c r="U171" s="589">
        <v>0</v>
      </c>
      <c r="V171" s="579">
        <v>0</v>
      </c>
      <c r="W171" s="270">
        <f t="shared" si="266"/>
        <v>0</v>
      </c>
      <c r="X171" s="366">
        <f t="shared" si="266"/>
        <v>0</v>
      </c>
      <c r="Y171" s="462">
        <v>0</v>
      </c>
      <c r="Z171" s="719">
        <v>0</v>
      </c>
      <c r="AA171" s="630">
        <v>0</v>
      </c>
      <c r="AB171" s="462">
        <v>0</v>
      </c>
      <c r="AC171" s="270">
        <f t="shared" ref="AC171:AD171" si="267">AF171-Z171</f>
        <v>0</v>
      </c>
      <c r="AD171" s="366">
        <f t="shared" si="267"/>
        <v>0</v>
      </c>
      <c r="AE171" s="462">
        <v>0</v>
      </c>
      <c r="AF171" s="710">
        <v>0</v>
      </c>
      <c r="AG171" s="589">
        <v>0</v>
      </c>
      <c r="AH171" s="462">
        <v>0</v>
      </c>
    </row>
    <row r="172" spans="1:34">
      <c r="A172" s="3"/>
      <c r="B172" s="39" t="s">
        <v>18</v>
      </c>
      <c r="C172" s="40">
        <f t="shared" ref="C172:I172" si="268">C173-SUM(C150:C171)</f>
        <v>674</v>
      </c>
      <c r="D172" s="40">
        <f t="shared" si="268"/>
        <v>808</v>
      </c>
      <c r="E172" s="40">
        <f t="shared" si="268"/>
        <v>626</v>
      </c>
      <c r="F172" s="40">
        <f t="shared" si="268"/>
        <v>730</v>
      </c>
      <c r="G172" s="608">
        <f t="shared" si="268"/>
        <v>476</v>
      </c>
      <c r="H172" s="630">
        <f t="shared" si="268"/>
        <v>39</v>
      </c>
      <c r="I172" s="589">
        <f t="shared" si="268"/>
        <v>76</v>
      </c>
      <c r="J172" s="235">
        <f t="shared" ref="J172:J173" si="269">ROUND(((I172/H172-1)*100), 1)</f>
        <v>94.9</v>
      </c>
      <c r="K172" s="359">
        <f>K173-SUM(K150:K171)</f>
        <v>59</v>
      </c>
      <c r="L172" s="366">
        <f>L173-SUM(L150:L171)</f>
        <v>71</v>
      </c>
      <c r="M172" s="235">
        <f t="shared" ref="M172:M173" si="270">ROUND(((L172/K172-1)*100), 1)</f>
        <v>20.3</v>
      </c>
      <c r="N172" s="589">
        <f>N173-SUM(N150:N171)</f>
        <v>98</v>
      </c>
      <c r="O172" s="589">
        <f>O173-SUM(O150:O171)</f>
        <v>147</v>
      </c>
      <c r="P172" s="235">
        <f t="shared" ref="P172:P173" si="271">ROUND(((O172/N172-1)*100), 1)</f>
        <v>50</v>
      </c>
      <c r="Q172" s="359">
        <f>Q173-SUM(Q150:Q171)</f>
        <v>12</v>
      </c>
      <c r="R172" s="366">
        <f>R173-SUM(R150:R171)</f>
        <v>108</v>
      </c>
      <c r="S172" s="235">
        <f t="shared" ref="S172:S173" si="272">ROUND(((R172/Q172-1)*100), 1)</f>
        <v>800</v>
      </c>
      <c r="T172" s="589">
        <f>T173-SUM(T150:T171)</f>
        <v>110</v>
      </c>
      <c r="U172" s="589">
        <f>U173-SUM(U150:U171)</f>
        <v>255</v>
      </c>
      <c r="V172" s="235">
        <f t="shared" ref="V172:V173" si="273">ROUND(((U172/T172-1)*100), 1)</f>
        <v>131.80000000000001</v>
      </c>
      <c r="W172" s="468">
        <f>W173-SUM(W150:W171)</f>
        <v>21</v>
      </c>
      <c r="X172" s="366">
        <f>X173-SUM(X150:X171)</f>
        <v>41</v>
      </c>
      <c r="Y172" s="235">
        <f t="shared" ref="Y172:Y173" si="274">ROUND(((X172/W172-1)*100), 1)</f>
        <v>95.2</v>
      </c>
      <c r="Z172" s="630">
        <f>Z173-SUM(Z150:Z171)</f>
        <v>131</v>
      </c>
      <c r="AA172" s="630">
        <f>AA173-SUM(AA150:AA171)</f>
        <v>296</v>
      </c>
      <c r="AB172" s="235">
        <f t="shared" ref="AB172:AB173" si="275">ROUND(((AA172/Z172-1)*100), 1)</f>
        <v>126</v>
      </c>
      <c r="AC172" s="468">
        <f>AC173-SUM(AC150:AC171)</f>
        <v>12</v>
      </c>
      <c r="AD172" s="366">
        <f>AD173-SUM(AD150:AD171)</f>
        <v>100</v>
      </c>
      <c r="AE172" s="235">
        <f t="shared" ref="AE172:AE173" si="276">ROUND(((AD172/AC172-1)*100), 1)</f>
        <v>733.3</v>
      </c>
      <c r="AF172" s="589">
        <f>AF173-SUM(AF150:AF171)</f>
        <v>143</v>
      </c>
      <c r="AG172" s="589">
        <f>AG173-SUM(AG150:AG171)</f>
        <v>396</v>
      </c>
      <c r="AH172" s="235">
        <f t="shared" ref="AH172:AH173" si="277">ROUND(((AG172/AF172-1)*100), 1)</f>
        <v>176.9</v>
      </c>
    </row>
    <row r="173" spans="1:34">
      <c r="A173" s="8"/>
      <c r="B173" s="63" t="s">
        <v>101</v>
      </c>
      <c r="C173" s="42">
        <v>21694</v>
      </c>
      <c r="D173" s="42">
        <v>19610</v>
      </c>
      <c r="E173" s="42">
        <v>16919</v>
      </c>
      <c r="F173" s="42">
        <v>14937</v>
      </c>
      <c r="G173" s="609">
        <v>17317</v>
      </c>
      <c r="H173" s="632">
        <v>1100</v>
      </c>
      <c r="I173" s="582">
        <v>1506</v>
      </c>
      <c r="J173" s="236">
        <f t="shared" si="269"/>
        <v>36.9</v>
      </c>
      <c r="K173" s="268">
        <f t="shared" ref="K173" si="278">N173-H173</f>
        <v>1097</v>
      </c>
      <c r="L173" s="280">
        <f t="shared" ref="L173" si="279">O173-I173</f>
        <v>1359</v>
      </c>
      <c r="M173" s="236">
        <f t="shared" si="270"/>
        <v>23.9</v>
      </c>
      <c r="N173" s="582">
        <v>2197</v>
      </c>
      <c r="O173" s="582">
        <v>2865</v>
      </c>
      <c r="P173" s="236">
        <f t="shared" si="271"/>
        <v>30.4</v>
      </c>
      <c r="Q173" s="268">
        <f t="shared" ref="Q173" si="280">T173-N173</f>
        <v>1481</v>
      </c>
      <c r="R173" s="280">
        <f t="shared" ref="R173" si="281">U173-O173</f>
        <v>1466</v>
      </c>
      <c r="S173" s="236">
        <f t="shared" si="272"/>
        <v>-1</v>
      </c>
      <c r="T173" s="582">
        <v>3678</v>
      </c>
      <c r="U173" s="582">
        <v>4331</v>
      </c>
      <c r="V173" s="236">
        <f t="shared" si="273"/>
        <v>17.8</v>
      </c>
      <c r="W173" s="268">
        <f t="shared" ref="W173" si="282">Z173-T173</f>
        <v>1218</v>
      </c>
      <c r="X173" s="280">
        <f t="shared" ref="X173" si="283">AA173-U173</f>
        <v>1477</v>
      </c>
      <c r="Y173" s="236">
        <f t="shared" si="274"/>
        <v>21.3</v>
      </c>
      <c r="Z173" s="632">
        <v>4896</v>
      </c>
      <c r="AA173" s="632">
        <v>5808</v>
      </c>
      <c r="AB173" s="236">
        <f t="shared" si="275"/>
        <v>18.600000000000001</v>
      </c>
      <c r="AC173" s="268">
        <f t="shared" ref="AC173:AD173" si="284">AF173-Z173</f>
        <v>1243</v>
      </c>
      <c r="AD173" s="280">
        <f t="shared" si="284"/>
        <v>1329</v>
      </c>
      <c r="AE173" s="236">
        <f t="shared" si="276"/>
        <v>6.9</v>
      </c>
      <c r="AF173" s="582">
        <v>6139</v>
      </c>
      <c r="AG173" s="582">
        <v>7137</v>
      </c>
      <c r="AH173" s="236">
        <f t="shared" si="277"/>
        <v>16.3</v>
      </c>
    </row>
    <row r="174" spans="1:34">
      <c r="A174" s="3"/>
      <c r="B174" s="39" t="s">
        <v>43</v>
      </c>
      <c r="C174" s="40">
        <v>2514</v>
      </c>
      <c r="D174" s="40">
        <v>4330</v>
      </c>
      <c r="E174" s="40">
        <v>4953</v>
      </c>
      <c r="F174" s="40">
        <v>5894</v>
      </c>
      <c r="G174" s="608">
        <v>7331</v>
      </c>
      <c r="H174" s="630">
        <v>683</v>
      </c>
      <c r="I174" s="589">
        <v>699</v>
      </c>
      <c r="J174" s="235">
        <f t="shared" ref="J174:J182" si="285">ROUND(((I174/H174-1)*100), 1)</f>
        <v>2.2999999999999998</v>
      </c>
      <c r="K174" s="270">
        <f t="shared" ref="K174:K182" si="286">N174-H174</f>
        <v>240</v>
      </c>
      <c r="L174" s="366">
        <f t="shared" ref="L174:L182" si="287">O174-I174</f>
        <v>650</v>
      </c>
      <c r="M174" s="235">
        <f t="shared" ref="M174:M180" si="288">ROUND(((L174/K174-1)*100), 1)</f>
        <v>170.8</v>
      </c>
      <c r="N174" s="589">
        <v>923</v>
      </c>
      <c r="O174" s="589">
        <v>1349</v>
      </c>
      <c r="P174" s="235">
        <f t="shared" ref="P174:P182" si="289">ROUND(((O174/N174-1)*100), 1)</f>
        <v>46.2</v>
      </c>
      <c r="Q174" s="270">
        <f t="shared" ref="Q174:Q178" si="290">T174-N174</f>
        <v>328</v>
      </c>
      <c r="R174" s="366">
        <f t="shared" ref="R174:R178" si="291">U174-O174</f>
        <v>730</v>
      </c>
      <c r="S174" s="235">
        <f t="shared" ref="S174:S185" si="292">ROUND(((R174/Q174-1)*100), 1)</f>
        <v>122.6</v>
      </c>
      <c r="T174" s="589">
        <v>1251</v>
      </c>
      <c r="U174" s="589">
        <v>2079</v>
      </c>
      <c r="V174" s="235">
        <f t="shared" ref="V174:V186" si="293">ROUND(((U174/T174-1)*100), 1)</f>
        <v>66.2</v>
      </c>
      <c r="W174" s="270">
        <f t="shared" ref="W174:W182" si="294">Z174-T174</f>
        <v>633</v>
      </c>
      <c r="X174" s="366">
        <f t="shared" ref="X174:X182" si="295">AA174-U174</f>
        <v>684</v>
      </c>
      <c r="Y174" s="235">
        <f t="shared" ref="Y174:Y182" si="296">ROUND(((X174/W174-1)*100), 1)</f>
        <v>8.1</v>
      </c>
      <c r="Z174" s="630">
        <v>1884</v>
      </c>
      <c r="AA174" s="630">
        <v>2763</v>
      </c>
      <c r="AB174" s="235">
        <f t="shared" ref="AB174:AB182" si="297">ROUND(((AA174/Z174-1)*100), 1)</f>
        <v>46.7</v>
      </c>
      <c r="AC174" s="270">
        <f t="shared" ref="AC174:AC176" si="298">AF174-Z174</f>
        <v>744</v>
      </c>
      <c r="AD174" s="366">
        <f t="shared" ref="AD174:AD176" si="299">AG174-AA174</f>
        <v>626</v>
      </c>
      <c r="AE174" s="235">
        <f t="shared" ref="AE174:AE176" si="300">ROUND(((AD174/AC174-1)*100), 1)</f>
        <v>-15.9</v>
      </c>
      <c r="AF174" s="589">
        <v>2628</v>
      </c>
      <c r="AG174" s="589">
        <v>3389</v>
      </c>
      <c r="AH174" s="235">
        <f t="shared" ref="AH174:AH182" si="301">ROUND(((AG174/AF174-1)*100), 1)</f>
        <v>29</v>
      </c>
    </row>
    <row r="175" spans="1:34">
      <c r="A175" s="3" t="s">
        <v>103</v>
      </c>
      <c r="B175" s="39" t="s">
        <v>69</v>
      </c>
      <c r="C175" s="40">
        <v>3156</v>
      </c>
      <c r="D175" s="40">
        <v>3129</v>
      </c>
      <c r="E175" s="40">
        <v>3775</v>
      </c>
      <c r="F175" s="40">
        <v>2872</v>
      </c>
      <c r="G175" s="608">
        <v>2803</v>
      </c>
      <c r="H175" s="630">
        <v>361</v>
      </c>
      <c r="I175" s="589">
        <v>290</v>
      </c>
      <c r="J175" s="235">
        <f t="shared" si="285"/>
        <v>-19.7</v>
      </c>
      <c r="K175" s="270">
        <f t="shared" si="286"/>
        <v>66</v>
      </c>
      <c r="L175" s="366">
        <f t="shared" si="287"/>
        <v>226</v>
      </c>
      <c r="M175" s="235">
        <f t="shared" si="288"/>
        <v>242.4</v>
      </c>
      <c r="N175" s="589">
        <v>427</v>
      </c>
      <c r="O175" s="589">
        <v>516</v>
      </c>
      <c r="P175" s="235">
        <f t="shared" si="289"/>
        <v>20.8</v>
      </c>
      <c r="Q175" s="270">
        <f t="shared" si="290"/>
        <v>248</v>
      </c>
      <c r="R175" s="366">
        <f t="shared" si="291"/>
        <v>88</v>
      </c>
      <c r="S175" s="235">
        <f t="shared" si="292"/>
        <v>-64.5</v>
      </c>
      <c r="T175" s="589">
        <v>675</v>
      </c>
      <c r="U175" s="589">
        <v>604</v>
      </c>
      <c r="V175" s="235">
        <f t="shared" si="293"/>
        <v>-10.5</v>
      </c>
      <c r="W175" s="270">
        <f t="shared" si="294"/>
        <v>248</v>
      </c>
      <c r="X175" s="366">
        <f t="shared" si="295"/>
        <v>411</v>
      </c>
      <c r="Y175" s="235">
        <f t="shared" si="296"/>
        <v>65.7</v>
      </c>
      <c r="Z175" s="630">
        <v>923</v>
      </c>
      <c r="AA175" s="630">
        <v>1015</v>
      </c>
      <c r="AB175" s="235">
        <f t="shared" si="297"/>
        <v>10</v>
      </c>
      <c r="AC175" s="270">
        <f t="shared" si="298"/>
        <v>117</v>
      </c>
      <c r="AD175" s="366">
        <f t="shared" si="299"/>
        <v>248</v>
      </c>
      <c r="AE175" s="235">
        <f t="shared" si="300"/>
        <v>112</v>
      </c>
      <c r="AF175" s="589">
        <v>1040</v>
      </c>
      <c r="AG175" s="589">
        <v>1263</v>
      </c>
      <c r="AH175" s="235">
        <f t="shared" si="301"/>
        <v>21.4</v>
      </c>
    </row>
    <row r="176" spans="1:34">
      <c r="A176" s="3"/>
      <c r="B176" s="39" t="s">
        <v>91</v>
      </c>
      <c r="C176" s="40">
        <v>601</v>
      </c>
      <c r="D176" s="40">
        <v>837</v>
      </c>
      <c r="E176" s="40">
        <v>1152</v>
      </c>
      <c r="F176" s="40">
        <v>2045</v>
      </c>
      <c r="G176" s="608">
        <v>2629</v>
      </c>
      <c r="H176" s="630">
        <v>190</v>
      </c>
      <c r="I176" s="589">
        <v>199</v>
      </c>
      <c r="J176" s="235">
        <f t="shared" si="285"/>
        <v>4.7</v>
      </c>
      <c r="K176" s="270">
        <f t="shared" si="286"/>
        <v>205</v>
      </c>
      <c r="L176" s="366">
        <f t="shared" si="287"/>
        <v>199</v>
      </c>
      <c r="M176" s="235">
        <f t="shared" si="288"/>
        <v>-2.9</v>
      </c>
      <c r="N176" s="589">
        <v>395</v>
      </c>
      <c r="O176" s="589">
        <v>398</v>
      </c>
      <c r="P176" s="235">
        <f t="shared" si="289"/>
        <v>0.8</v>
      </c>
      <c r="Q176" s="270">
        <f t="shared" si="290"/>
        <v>218</v>
      </c>
      <c r="R176" s="366">
        <f t="shared" si="291"/>
        <v>180</v>
      </c>
      <c r="S176" s="235">
        <f t="shared" si="292"/>
        <v>-17.399999999999999</v>
      </c>
      <c r="T176" s="589">
        <v>613</v>
      </c>
      <c r="U176" s="589">
        <v>578</v>
      </c>
      <c r="V176" s="235">
        <f t="shared" si="293"/>
        <v>-5.7</v>
      </c>
      <c r="W176" s="270">
        <f t="shared" si="294"/>
        <v>162</v>
      </c>
      <c r="X176" s="366">
        <f t="shared" si="295"/>
        <v>165</v>
      </c>
      <c r="Y176" s="235">
        <f t="shared" si="296"/>
        <v>1.9</v>
      </c>
      <c r="Z176" s="630">
        <v>775</v>
      </c>
      <c r="AA176" s="630">
        <v>743</v>
      </c>
      <c r="AB176" s="235">
        <f t="shared" si="297"/>
        <v>-4.0999999999999996</v>
      </c>
      <c r="AC176" s="270">
        <f t="shared" si="298"/>
        <v>263</v>
      </c>
      <c r="AD176" s="366">
        <f t="shared" si="299"/>
        <v>164</v>
      </c>
      <c r="AE176" s="235">
        <f t="shared" si="300"/>
        <v>-37.6</v>
      </c>
      <c r="AF176" s="589">
        <v>1038</v>
      </c>
      <c r="AG176" s="589">
        <v>907</v>
      </c>
      <c r="AH176" s="235">
        <f t="shared" si="301"/>
        <v>-12.6</v>
      </c>
    </row>
    <row r="177" spans="1:34">
      <c r="A177" s="3"/>
      <c r="B177" s="39" t="s">
        <v>66</v>
      </c>
      <c r="C177" s="40">
        <v>551</v>
      </c>
      <c r="D177" s="40">
        <v>459</v>
      </c>
      <c r="E177" s="40">
        <v>622</v>
      </c>
      <c r="F177" s="40">
        <v>585</v>
      </c>
      <c r="G177" s="608">
        <v>605</v>
      </c>
      <c r="H177" s="630">
        <v>38</v>
      </c>
      <c r="I177" s="589">
        <v>86</v>
      </c>
      <c r="J177" s="235">
        <f t="shared" si="285"/>
        <v>126.3</v>
      </c>
      <c r="K177" s="270">
        <f t="shared" si="286"/>
        <v>71</v>
      </c>
      <c r="L177" s="366">
        <f t="shared" si="287"/>
        <v>30</v>
      </c>
      <c r="M177" s="235">
        <f t="shared" si="288"/>
        <v>-57.7</v>
      </c>
      <c r="N177" s="589">
        <v>109</v>
      </c>
      <c r="O177" s="589">
        <v>116</v>
      </c>
      <c r="P177" s="235">
        <f t="shared" si="289"/>
        <v>6.4</v>
      </c>
      <c r="Q177" s="270">
        <f t="shared" si="290"/>
        <v>51</v>
      </c>
      <c r="R177" s="366">
        <f t="shared" si="291"/>
        <v>30</v>
      </c>
      <c r="S177" s="235">
        <f t="shared" si="292"/>
        <v>-41.2</v>
      </c>
      <c r="T177" s="589">
        <v>160</v>
      </c>
      <c r="U177" s="589">
        <v>146</v>
      </c>
      <c r="V177" s="235">
        <f t="shared" si="293"/>
        <v>-8.8000000000000007</v>
      </c>
      <c r="W177" s="270">
        <f t="shared" si="294"/>
        <v>53</v>
      </c>
      <c r="X177" s="366">
        <f t="shared" si="295"/>
        <v>37</v>
      </c>
      <c r="Y177" s="235">
        <f t="shared" si="296"/>
        <v>-30.2</v>
      </c>
      <c r="Z177" s="630">
        <v>213</v>
      </c>
      <c r="AA177" s="630">
        <v>183</v>
      </c>
      <c r="AB177" s="235">
        <f t="shared" si="297"/>
        <v>-14.1</v>
      </c>
      <c r="AC177" s="578">
        <f t="shared" ref="AC177:AC187" si="302">AF177-Z177</f>
        <v>22</v>
      </c>
      <c r="AD177" s="589">
        <f t="shared" ref="AD177:AD187" si="303">AG177-AA177</f>
        <v>34</v>
      </c>
      <c r="AE177" s="571">
        <f t="shared" ref="AE177:AE186" si="304">ROUND(((AD177/AC177-1)*100), 1)</f>
        <v>54.5</v>
      </c>
      <c r="AF177" s="589">
        <v>235</v>
      </c>
      <c r="AG177" s="589">
        <v>217</v>
      </c>
      <c r="AH177" s="235">
        <f t="shared" si="301"/>
        <v>-7.7</v>
      </c>
    </row>
    <row r="178" spans="1:34">
      <c r="A178" s="3"/>
      <c r="B178" s="39" t="s">
        <v>61</v>
      </c>
      <c r="C178" s="40">
        <v>321</v>
      </c>
      <c r="D178" s="40">
        <v>227</v>
      </c>
      <c r="E178" s="40">
        <v>291</v>
      </c>
      <c r="F178" s="40">
        <v>236</v>
      </c>
      <c r="G178" s="608">
        <v>336</v>
      </c>
      <c r="H178" s="630">
        <v>5</v>
      </c>
      <c r="I178" s="589">
        <v>9</v>
      </c>
      <c r="J178" s="235">
        <f t="shared" si="285"/>
        <v>80</v>
      </c>
      <c r="K178" s="270">
        <f t="shared" si="286"/>
        <v>29</v>
      </c>
      <c r="L178" s="366">
        <f t="shared" si="287"/>
        <v>11</v>
      </c>
      <c r="M178" s="235">
        <f t="shared" si="288"/>
        <v>-62.1</v>
      </c>
      <c r="N178" s="589">
        <v>34</v>
      </c>
      <c r="O178" s="589">
        <v>20</v>
      </c>
      <c r="P178" s="235">
        <f t="shared" si="289"/>
        <v>-41.2</v>
      </c>
      <c r="Q178" s="270">
        <f t="shared" si="290"/>
        <v>37</v>
      </c>
      <c r="R178" s="366">
        <f t="shared" si="291"/>
        <v>6</v>
      </c>
      <c r="S178" s="235">
        <f t="shared" si="292"/>
        <v>-83.8</v>
      </c>
      <c r="T178" s="589">
        <v>71</v>
      </c>
      <c r="U178" s="589">
        <v>26</v>
      </c>
      <c r="V178" s="571">
        <f t="shared" si="293"/>
        <v>-63.4</v>
      </c>
      <c r="W178" s="270">
        <f t="shared" si="294"/>
        <v>35</v>
      </c>
      <c r="X178" s="366">
        <f t="shared" si="295"/>
        <v>8</v>
      </c>
      <c r="Y178" s="235">
        <f t="shared" si="296"/>
        <v>-77.099999999999994</v>
      </c>
      <c r="Z178" s="630">
        <v>106</v>
      </c>
      <c r="AA178" s="630">
        <v>34</v>
      </c>
      <c r="AB178" s="235">
        <f t="shared" si="297"/>
        <v>-67.900000000000006</v>
      </c>
      <c r="AC178" s="578">
        <f t="shared" si="302"/>
        <v>27</v>
      </c>
      <c r="AD178" s="589">
        <f t="shared" si="303"/>
        <v>4</v>
      </c>
      <c r="AE178" s="571">
        <f t="shared" si="304"/>
        <v>-85.2</v>
      </c>
      <c r="AF178" s="589">
        <v>133</v>
      </c>
      <c r="AG178" s="589">
        <v>38</v>
      </c>
      <c r="AH178" s="235">
        <f t="shared" si="301"/>
        <v>-71.400000000000006</v>
      </c>
    </row>
    <row r="179" spans="1:34">
      <c r="A179" s="3"/>
      <c r="B179" s="39" t="s">
        <v>122</v>
      </c>
      <c r="C179" s="40">
        <v>84</v>
      </c>
      <c r="D179" s="40">
        <v>181</v>
      </c>
      <c r="E179" s="40">
        <v>157</v>
      </c>
      <c r="F179" s="40">
        <v>257</v>
      </c>
      <c r="G179" s="608">
        <v>259</v>
      </c>
      <c r="H179" s="630">
        <v>24</v>
      </c>
      <c r="I179" s="589">
        <v>36</v>
      </c>
      <c r="J179" s="235">
        <f t="shared" si="285"/>
        <v>50</v>
      </c>
      <c r="K179" s="270">
        <f t="shared" si="286"/>
        <v>11</v>
      </c>
      <c r="L179" s="366">
        <f t="shared" si="287"/>
        <v>21</v>
      </c>
      <c r="M179" s="235">
        <f t="shared" si="288"/>
        <v>90.9</v>
      </c>
      <c r="N179" s="589">
        <v>35</v>
      </c>
      <c r="O179" s="589">
        <v>57</v>
      </c>
      <c r="P179" s="235">
        <f t="shared" si="289"/>
        <v>62.9</v>
      </c>
      <c r="Q179" s="578">
        <f t="shared" ref="Q179:Q186" si="305">T179-N179</f>
        <v>20</v>
      </c>
      <c r="R179" s="589">
        <f t="shared" ref="R179:R186" si="306">U179-O179</f>
        <v>41</v>
      </c>
      <c r="S179" s="571">
        <f t="shared" si="292"/>
        <v>105</v>
      </c>
      <c r="T179" s="589">
        <v>55</v>
      </c>
      <c r="U179" s="589">
        <v>98</v>
      </c>
      <c r="V179" s="571">
        <f t="shared" si="293"/>
        <v>78.2</v>
      </c>
      <c r="W179" s="270">
        <f t="shared" si="294"/>
        <v>14</v>
      </c>
      <c r="X179" s="366">
        <f t="shared" si="295"/>
        <v>7</v>
      </c>
      <c r="Y179" s="235">
        <f t="shared" si="296"/>
        <v>-50</v>
      </c>
      <c r="Z179" s="630">
        <v>69</v>
      </c>
      <c r="AA179" s="630">
        <v>105</v>
      </c>
      <c r="AB179" s="235">
        <f t="shared" si="297"/>
        <v>52.2</v>
      </c>
      <c r="AC179" s="578">
        <f t="shared" si="302"/>
        <v>25</v>
      </c>
      <c r="AD179" s="589">
        <f t="shared" si="303"/>
        <v>59</v>
      </c>
      <c r="AE179" s="571">
        <f t="shared" si="304"/>
        <v>136</v>
      </c>
      <c r="AF179" s="589">
        <v>94</v>
      </c>
      <c r="AG179" s="589">
        <v>164</v>
      </c>
      <c r="AH179" s="235">
        <f t="shared" si="301"/>
        <v>74.5</v>
      </c>
    </row>
    <row r="180" spans="1:34">
      <c r="A180" s="3"/>
      <c r="B180" s="39" t="s">
        <v>47</v>
      </c>
      <c r="C180" s="40">
        <v>66</v>
      </c>
      <c r="D180" s="40">
        <v>51</v>
      </c>
      <c r="E180" s="40">
        <v>50</v>
      </c>
      <c r="F180" s="40">
        <v>29</v>
      </c>
      <c r="G180" s="608">
        <v>55</v>
      </c>
      <c r="H180" s="630">
        <v>0</v>
      </c>
      <c r="I180" s="589">
        <v>0</v>
      </c>
      <c r="J180" s="579">
        <v>0</v>
      </c>
      <c r="K180" s="270">
        <f t="shared" si="286"/>
        <v>15</v>
      </c>
      <c r="L180" s="366">
        <f t="shared" si="287"/>
        <v>3</v>
      </c>
      <c r="M180" s="571">
        <f t="shared" si="288"/>
        <v>-80</v>
      </c>
      <c r="N180" s="589">
        <v>15</v>
      </c>
      <c r="O180" s="589">
        <v>3</v>
      </c>
      <c r="P180" s="235">
        <f t="shared" si="289"/>
        <v>-80</v>
      </c>
      <c r="Q180" s="578">
        <f t="shared" si="305"/>
        <v>3</v>
      </c>
      <c r="R180" s="589">
        <f t="shared" si="306"/>
        <v>4</v>
      </c>
      <c r="S180" s="571">
        <f t="shared" si="292"/>
        <v>33.299999999999997</v>
      </c>
      <c r="T180" s="589">
        <v>18</v>
      </c>
      <c r="U180" s="589">
        <v>7</v>
      </c>
      <c r="V180" s="571">
        <f t="shared" si="293"/>
        <v>-61.1</v>
      </c>
      <c r="W180" s="270">
        <f t="shared" si="294"/>
        <v>1</v>
      </c>
      <c r="X180" s="366">
        <f t="shared" si="295"/>
        <v>2</v>
      </c>
      <c r="Y180" s="235">
        <f t="shared" si="296"/>
        <v>100</v>
      </c>
      <c r="Z180" s="630">
        <v>19</v>
      </c>
      <c r="AA180" s="630">
        <v>9</v>
      </c>
      <c r="AB180" s="235">
        <f t="shared" si="297"/>
        <v>-52.6</v>
      </c>
      <c r="AC180" s="578">
        <f t="shared" si="302"/>
        <v>3</v>
      </c>
      <c r="AD180" s="589">
        <f t="shared" si="303"/>
        <v>4</v>
      </c>
      <c r="AE180" s="571">
        <f t="shared" si="304"/>
        <v>33.299999999999997</v>
      </c>
      <c r="AF180" s="589">
        <v>22</v>
      </c>
      <c r="AG180" s="589">
        <v>13</v>
      </c>
      <c r="AH180" s="235">
        <f t="shared" si="301"/>
        <v>-40.9</v>
      </c>
    </row>
    <row r="181" spans="1:34">
      <c r="A181" s="3"/>
      <c r="B181" s="39" t="s">
        <v>94</v>
      </c>
      <c r="C181" s="40">
        <v>13</v>
      </c>
      <c r="D181" s="40">
        <v>15</v>
      </c>
      <c r="E181" s="40">
        <v>52</v>
      </c>
      <c r="F181" s="40">
        <v>9</v>
      </c>
      <c r="G181" s="608">
        <v>31</v>
      </c>
      <c r="H181" s="630">
        <v>2</v>
      </c>
      <c r="I181" s="589">
        <v>1</v>
      </c>
      <c r="J181" s="235">
        <f t="shared" si="285"/>
        <v>-50</v>
      </c>
      <c r="K181" s="270">
        <f t="shared" si="286"/>
        <v>0</v>
      </c>
      <c r="L181" s="366">
        <f t="shared" si="287"/>
        <v>4</v>
      </c>
      <c r="M181" s="464">
        <v>0</v>
      </c>
      <c r="N181" s="589">
        <v>2</v>
      </c>
      <c r="O181" s="589">
        <v>5</v>
      </c>
      <c r="P181" s="235">
        <f t="shared" si="289"/>
        <v>150</v>
      </c>
      <c r="Q181" s="578">
        <f t="shared" si="305"/>
        <v>0</v>
      </c>
      <c r="R181" s="589">
        <f t="shared" si="306"/>
        <v>6</v>
      </c>
      <c r="S181" s="579">
        <v>0</v>
      </c>
      <c r="T181" s="589">
        <v>2</v>
      </c>
      <c r="U181" s="589">
        <v>11</v>
      </c>
      <c r="V181" s="571">
        <f t="shared" si="293"/>
        <v>450</v>
      </c>
      <c r="W181" s="270">
        <f t="shared" si="294"/>
        <v>1</v>
      </c>
      <c r="X181" s="366">
        <f t="shared" si="295"/>
        <v>2</v>
      </c>
      <c r="Y181" s="235">
        <f t="shared" si="296"/>
        <v>100</v>
      </c>
      <c r="Z181" s="630">
        <v>3</v>
      </c>
      <c r="AA181" s="630">
        <v>13</v>
      </c>
      <c r="AB181" s="235">
        <f t="shared" si="297"/>
        <v>333.3</v>
      </c>
      <c r="AC181" s="578">
        <f t="shared" si="302"/>
        <v>4</v>
      </c>
      <c r="AD181" s="589">
        <f t="shared" si="303"/>
        <v>1</v>
      </c>
      <c r="AE181" s="571">
        <f t="shared" si="304"/>
        <v>-75</v>
      </c>
      <c r="AF181" s="589">
        <v>7</v>
      </c>
      <c r="AG181" s="589">
        <v>14</v>
      </c>
      <c r="AH181" s="235">
        <f t="shared" si="301"/>
        <v>100</v>
      </c>
    </row>
    <row r="182" spans="1:34">
      <c r="A182" s="3"/>
      <c r="B182" s="39" t="s">
        <v>46</v>
      </c>
      <c r="C182" s="40">
        <v>201</v>
      </c>
      <c r="D182" s="40">
        <v>235</v>
      </c>
      <c r="E182" s="40">
        <v>225</v>
      </c>
      <c r="F182" s="40">
        <v>129</v>
      </c>
      <c r="G182" s="608">
        <v>24</v>
      </c>
      <c r="H182" s="630">
        <v>1</v>
      </c>
      <c r="I182" s="589">
        <v>2</v>
      </c>
      <c r="J182" s="571">
        <f t="shared" si="285"/>
        <v>100</v>
      </c>
      <c r="K182" s="270">
        <f t="shared" si="286"/>
        <v>3</v>
      </c>
      <c r="L182" s="366">
        <f t="shared" si="287"/>
        <v>0</v>
      </c>
      <c r="M182" s="571">
        <f>ROUND(((L182/K182-1)*100), 1)</f>
        <v>-100</v>
      </c>
      <c r="N182" s="589">
        <v>4</v>
      </c>
      <c r="O182" s="589">
        <v>2</v>
      </c>
      <c r="P182" s="571">
        <f t="shared" si="289"/>
        <v>-50</v>
      </c>
      <c r="Q182" s="578">
        <f t="shared" si="305"/>
        <v>4</v>
      </c>
      <c r="R182" s="589">
        <f t="shared" si="306"/>
        <v>3</v>
      </c>
      <c r="S182" s="571">
        <f t="shared" si="292"/>
        <v>-25</v>
      </c>
      <c r="T182" s="589">
        <v>8</v>
      </c>
      <c r="U182" s="589">
        <v>5</v>
      </c>
      <c r="V182" s="571">
        <f t="shared" si="293"/>
        <v>-37.5</v>
      </c>
      <c r="W182" s="270">
        <f t="shared" si="294"/>
        <v>3</v>
      </c>
      <c r="X182" s="366">
        <f t="shared" si="295"/>
        <v>2</v>
      </c>
      <c r="Y182" s="571">
        <f t="shared" si="296"/>
        <v>-33.299999999999997</v>
      </c>
      <c r="Z182" s="630">
        <v>11</v>
      </c>
      <c r="AA182" s="630">
        <v>7</v>
      </c>
      <c r="AB182" s="571">
        <f t="shared" si="297"/>
        <v>-36.4</v>
      </c>
      <c r="AC182" s="578">
        <f t="shared" si="302"/>
        <v>1</v>
      </c>
      <c r="AD182" s="589">
        <f t="shared" si="303"/>
        <v>1</v>
      </c>
      <c r="AE182" s="571">
        <f t="shared" si="304"/>
        <v>0</v>
      </c>
      <c r="AF182" s="589">
        <v>12</v>
      </c>
      <c r="AG182" s="589">
        <v>8</v>
      </c>
      <c r="AH182" s="571">
        <f t="shared" si="301"/>
        <v>-33.299999999999997</v>
      </c>
    </row>
    <row r="183" spans="1:34" s="605" customFormat="1">
      <c r="A183" s="675"/>
      <c r="B183" s="611" t="s">
        <v>536</v>
      </c>
      <c r="C183" s="608">
        <v>0</v>
      </c>
      <c r="D183" s="608">
        <v>5</v>
      </c>
      <c r="E183" s="608">
        <v>26</v>
      </c>
      <c r="F183" s="608">
        <v>5</v>
      </c>
      <c r="G183" s="608">
        <v>17</v>
      </c>
      <c r="H183" s="630">
        <v>0</v>
      </c>
      <c r="I183" s="589">
        <v>2</v>
      </c>
      <c r="J183" s="579">
        <v>0</v>
      </c>
      <c r="K183" s="578">
        <f t="shared" ref="K183" si="307">N183-H183</f>
        <v>0</v>
      </c>
      <c r="L183" s="589">
        <f t="shared" ref="L183" si="308">O183-I183</f>
        <v>2</v>
      </c>
      <c r="M183" s="579">
        <v>0</v>
      </c>
      <c r="N183" s="589">
        <v>0</v>
      </c>
      <c r="O183" s="589">
        <v>4</v>
      </c>
      <c r="P183" s="579">
        <v>0</v>
      </c>
      <c r="Q183" s="578">
        <f t="shared" si="305"/>
        <v>0</v>
      </c>
      <c r="R183" s="589">
        <f t="shared" si="306"/>
        <v>1</v>
      </c>
      <c r="S183" s="579">
        <v>0</v>
      </c>
      <c r="T183" s="589">
        <v>0</v>
      </c>
      <c r="U183" s="589">
        <v>5</v>
      </c>
      <c r="V183" s="579">
        <v>0</v>
      </c>
      <c r="W183" s="578">
        <f t="shared" ref="W183:W186" si="309">Z183-T183</f>
        <v>0</v>
      </c>
      <c r="X183" s="589">
        <f t="shared" ref="X183:X186" si="310">AA183-U183</f>
        <v>1</v>
      </c>
      <c r="Y183" s="579">
        <v>0</v>
      </c>
      <c r="Z183" s="630">
        <v>0</v>
      </c>
      <c r="AA183" s="630">
        <v>6</v>
      </c>
      <c r="AB183" s="579">
        <v>0</v>
      </c>
      <c r="AC183" s="578">
        <f t="shared" si="302"/>
        <v>0</v>
      </c>
      <c r="AD183" s="589">
        <f t="shared" si="303"/>
        <v>3</v>
      </c>
      <c r="AE183" s="579">
        <v>0</v>
      </c>
      <c r="AF183" s="589">
        <v>0</v>
      </c>
      <c r="AG183" s="589">
        <v>9</v>
      </c>
      <c r="AH183" s="579">
        <v>0</v>
      </c>
    </row>
    <row r="184" spans="1:34">
      <c r="A184" s="3"/>
      <c r="B184" s="39" t="s">
        <v>45</v>
      </c>
      <c r="C184" s="40">
        <v>13</v>
      </c>
      <c r="D184" s="40">
        <v>8</v>
      </c>
      <c r="E184" s="40">
        <v>12</v>
      </c>
      <c r="F184" s="40">
        <v>12</v>
      </c>
      <c r="G184" s="608">
        <v>14</v>
      </c>
      <c r="H184" s="630">
        <v>2</v>
      </c>
      <c r="I184" s="589">
        <v>0</v>
      </c>
      <c r="J184" s="235">
        <f>ROUND(((I184/H184-1)*100), 1)</f>
        <v>-100</v>
      </c>
      <c r="K184" s="270">
        <f t="shared" ref="K184:L187" si="311">N184-H184</f>
        <v>2</v>
      </c>
      <c r="L184" s="366">
        <f t="shared" si="311"/>
        <v>1</v>
      </c>
      <c r="M184" s="235">
        <f>ROUND(((L184/K184-1)*100), 1)</f>
        <v>-50</v>
      </c>
      <c r="N184" s="589">
        <v>4</v>
      </c>
      <c r="O184" s="589">
        <v>1</v>
      </c>
      <c r="P184" s="235">
        <f>ROUND(((O184/N184-1)*100), 1)</f>
        <v>-75</v>
      </c>
      <c r="Q184" s="578">
        <f t="shared" si="305"/>
        <v>1</v>
      </c>
      <c r="R184" s="589">
        <f t="shared" si="306"/>
        <v>0</v>
      </c>
      <c r="S184" s="571">
        <f t="shared" si="292"/>
        <v>-100</v>
      </c>
      <c r="T184" s="589">
        <v>5</v>
      </c>
      <c r="U184" s="589">
        <v>1</v>
      </c>
      <c r="V184" s="571">
        <f t="shared" si="293"/>
        <v>-80</v>
      </c>
      <c r="W184" s="578">
        <f t="shared" si="309"/>
        <v>2</v>
      </c>
      <c r="X184" s="589">
        <f t="shared" si="310"/>
        <v>1</v>
      </c>
      <c r="Y184" s="571">
        <f t="shared" ref="Y184:Y186" si="312">ROUND(((X184/W184-1)*100), 1)</f>
        <v>-50</v>
      </c>
      <c r="Z184" s="630">
        <v>7</v>
      </c>
      <c r="AA184" s="630">
        <v>2</v>
      </c>
      <c r="AB184" s="235">
        <f>ROUND(((AA184/Z184-1)*100), 1)</f>
        <v>-71.400000000000006</v>
      </c>
      <c r="AC184" s="578">
        <f t="shared" si="302"/>
        <v>1</v>
      </c>
      <c r="AD184" s="589">
        <f t="shared" si="303"/>
        <v>0</v>
      </c>
      <c r="AE184" s="571">
        <f t="shared" si="304"/>
        <v>-100</v>
      </c>
      <c r="AF184" s="589">
        <v>8</v>
      </c>
      <c r="AG184" s="589">
        <v>2</v>
      </c>
      <c r="AH184" s="235">
        <f>ROUND(((AG184/AF184-1)*100), 1)</f>
        <v>-75</v>
      </c>
    </row>
    <row r="185" spans="1:34">
      <c r="A185" s="3"/>
      <c r="B185" s="39" t="s">
        <v>241</v>
      </c>
      <c r="C185" s="40">
        <v>5</v>
      </c>
      <c r="D185" s="40">
        <v>22</v>
      </c>
      <c r="E185" s="40">
        <v>28</v>
      </c>
      <c r="F185" s="40">
        <v>6</v>
      </c>
      <c r="G185" s="608">
        <v>9</v>
      </c>
      <c r="H185" s="630">
        <v>0</v>
      </c>
      <c r="I185" s="589">
        <v>1</v>
      </c>
      <c r="J185" s="579">
        <v>0</v>
      </c>
      <c r="K185" s="270">
        <f t="shared" si="311"/>
        <v>0</v>
      </c>
      <c r="L185" s="366">
        <f t="shared" si="311"/>
        <v>1</v>
      </c>
      <c r="M185" s="579">
        <v>0</v>
      </c>
      <c r="N185" s="589">
        <v>0</v>
      </c>
      <c r="O185" s="589">
        <v>2</v>
      </c>
      <c r="P185" s="579">
        <v>0</v>
      </c>
      <c r="Q185" s="578">
        <f t="shared" si="305"/>
        <v>2</v>
      </c>
      <c r="R185" s="589">
        <f t="shared" si="306"/>
        <v>2</v>
      </c>
      <c r="S185" s="571">
        <f t="shared" si="292"/>
        <v>0</v>
      </c>
      <c r="T185" s="589">
        <v>2</v>
      </c>
      <c r="U185" s="589">
        <v>4</v>
      </c>
      <c r="V185" s="571">
        <f t="shared" si="293"/>
        <v>100</v>
      </c>
      <c r="W185" s="578">
        <f t="shared" si="309"/>
        <v>0</v>
      </c>
      <c r="X185" s="589">
        <f t="shared" si="310"/>
        <v>0</v>
      </c>
      <c r="Y185" s="579">
        <v>0</v>
      </c>
      <c r="Z185" s="630">
        <v>2</v>
      </c>
      <c r="AA185" s="630">
        <v>4</v>
      </c>
      <c r="AB185" s="235">
        <f>ROUND(((AA185/Z185-1)*100), 1)</f>
        <v>100</v>
      </c>
      <c r="AC185" s="578">
        <f t="shared" si="302"/>
        <v>1</v>
      </c>
      <c r="AD185" s="589">
        <f t="shared" si="303"/>
        <v>7</v>
      </c>
      <c r="AE185" s="571">
        <f t="shared" si="304"/>
        <v>600</v>
      </c>
      <c r="AF185" s="589">
        <v>3</v>
      </c>
      <c r="AG185" s="589">
        <v>11</v>
      </c>
      <c r="AH185" s="235">
        <f>ROUND(((AG185/AF185-1)*100), 1)</f>
        <v>266.7</v>
      </c>
    </row>
    <row r="186" spans="1:34">
      <c r="A186" s="3"/>
      <c r="B186" s="39" t="s">
        <v>50</v>
      </c>
      <c r="C186" s="40">
        <v>8</v>
      </c>
      <c r="D186" s="40">
        <v>6</v>
      </c>
      <c r="E186" s="40">
        <v>6</v>
      </c>
      <c r="F186" s="40">
        <v>9</v>
      </c>
      <c r="G186" s="608">
        <v>7</v>
      </c>
      <c r="H186" s="630">
        <v>1</v>
      </c>
      <c r="I186" s="589">
        <v>1</v>
      </c>
      <c r="J186" s="571">
        <f>ROUND(((I186/H186-1)*100), 1)</f>
        <v>0</v>
      </c>
      <c r="K186" s="270">
        <f t="shared" si="311"/>
        <v>0</v>
      </c>
      <c r="L186" s="366">
        <f t="shared" si="311"/>
        <v>1</v>
      </c>
      <c r="M186" s="171">
        <v>0</v>
      </c>
      <c r="N186" s="589">
        <v>1</v>
      </c>
      <c r="O186" s="589">
        <v>2</v>
      </c>
      <c r="P186" s="571">
        <f>ROUND(((O186/N186-1)*100), 1)</f>
        <v>100</v>
      </c>
      <c r="Q186" s="578">
        <f t="shared" si="305"/>
        <v>0</v>
      </c>
      <c r="R186" s="589">
        <f t="shared" si="306"/>
        <v>1</v>
      </c>
      <c r="S186" s="579">
        <v>0</v>
      </c>
      <c r="T186" s="589">
        <v>1</v>
      </c>
      <c r="U186" s="589">
        <v>3</v>
      </c>
      <c r="V186" s="571">
        <f t="shared" si="293"/>
        <v>200</v>
      </c>
      <c r="W186" s="578">
        <f t="shared" si="309"/>
        <v>1</v>
      </c>
      <c r="X186" s="589">
        <f t="shared" si="310"/>
        <v>1</v>
      </c>
      <c r="Y186" s="571">
        <f t="shared" si="312"/>
        <v>0</v>
      </c>
      <c r="Z186" s="630">
        <v>2</v>
      </c>
      <c r="AA186" s="630">
        <v>4</v>
      </c>
      <c r="AB186" s="235">
        <f>ROUND(((AA186/Z186-1)*100), 1)</f>
        <v>100</v>
      </c>
      <c r="AC186" s="578">
        <f t="shared" si="302"/>
        <v>1</v>
      </c>
      <c r="AD186" s="589">
        <f t="shared" si="303"/>
        <v>0</v>
      </c>
      <c r="AE186" s="571">
        <f t="shared" si="304"/>
        <v>-100</v>
      </c>
      <c r="AF186" s="589">
        <v>3</v>
      </c>
      <c r="AG186" s="589">
        <v>4</v>
      </c>
      <c r="AH186" s="235">
        <f>ROUND(((AG186/AF186-1)*100), 1)</f>
        <v>33.299999999999997</v>
      </c>
    </row>
    <row r="187" spans="1:34">
      <c r="A187" s="3"/>
      <c r="B187" s="39" t="s">
        <v>96</v>
      </c>
      <c r="C187" s="40">
        <v>24</v>
      </c>
      <c r="D187" s="40">
        <v>0</v>
      </c>
      <c r="E187" s="40">
        <v>17</v>
      </c>
      <c r="F187" s="40">
        <v>12</v>
      </c>
      <c r="G187" s="608">
        <v>0</v>
      </c>
      <c r="H187" s="630">
        <v>0</v>
      </c>
      <c r="I187" s="589">
        <v>0</v>
      </c>
      <c r="J187" s="171">
        <v>0</v>
      </c>
      <c r="K187" s="270">
        <f t="shared" si="311"/>
        <v>0</v>
      </c>
      <c r="L187" s="366">
        <f t="shared" si="311"/>
        <v>0</v>
      </c>
      <c r="M187" s="171">
        <v>0</v>
      </c>
      <c r="N187" s="589">
        <v>0</v>
      </c>
      <c r="O187" s="589">
        <v>0</v>
      </c>
      <c r="P187" s="171">
        <v>0</v>
      </c>
      <c r="Q187" s="270">
        <f t="shared" ref="Q187:R187" si="313">T187-N187</f>
        <v>0</v>
      </c>
      <c r="R187" s="366">
        <f t="shared" si="313"/>
        <v>0</v>
      </c>
      <c r="S187" s="171">
        <v>0</v>
      </c>
      <c r="T187" s="589">
        <v>0</v>
      </c>
      <c r="U187" s="589">
        <v>0</v>
      </c>
      <c r="V187" s="579">
        <v>0</v>
      </c>
      <c r="W187" s="270">
        <f t="shared" ref="W187:X187" si="314">Z187-T187</f>
        <v>0</v>
      </c>
      <c r="X187" s="366">
        <f t="shared" si="314"/>
        <v>0</v>
      </c>
      <c r="Y187" s="579">
        <v>0</v>
      </c>
      <c r="Z187" s="630">
        <v>0</v>
      </c>
      <c r="AA187" s="630">
        <v>0</v>
      </c>
      <c r="AB187" s="579">
        <v>0</v>
      </c>
      <c r="AC187" s="578">
        <f t="shared" si="302"/>
        <v>0</v>
      </c>
      <c r="AD187" s="589">
        <f t="shared" si="303"/>
        <v>0</v>
      </c>
      <c r="AE187" s="579">
        <v>0</v>
      </c>
      <c r="AF187" s="589">
        <v>0</v>
      </c>
      <c r="AG187" s="589">
        <v>0</v>
      </c>
      <c r="AH187" s="579">
        <v>0</v>
      </c>
    </row>
    <row r="188" spans="1:34">
      <c r="A188" s="3"/>
      <c r="B188" s="39" t="s">
        <v>18</v>
      </c>
      <c r="C188" s="40">
        <f t="shared" ref="C188:E188" si="315">C189-SUM(C174:C187)</f>
        <v>18</v>
      </c>
      <c r="D188" s="40">
        <f t="shared" si="315"/>
        <v>34</v>
      </c>
      <c r="E188" s="40">
        <f t="shared" si="315"/>
        <v>22</v>
      </c>
      <c r="F188" s="40">
        <f>F189-SUM(F174:F187)</f>
        <v>32</v>
      </c>
      <c r="G188" s="608">
        <f>G189-SUM(G174:G187)</f>
        <v>36</v>
      </c>
      <c r="H188" s="630">
        <f t="shared" ref="H188" si="316">H189-SUM(H174:H187)</f>
        <v>1</v>
      </c>
      <c r="I188" s="589">
        <f t="shared" ref="I188" si="317">I189-SUM(I174:I187)</f>
        <v>9</v>
      </c>
      <c r="J188" s="235">
        <f t="shared" ref="J188:J189" si="318">ROUND(((I188/H188-1)*100), 1)</f>
        <v>800</v>
      </c>
      <c r="K188" s="359">
        <f>K189-SUM(K174:K187)</f>
        <v>5</v>
      </c>
      <c r="L188" s="366">
        <f>L189-SUM(L174:L187)</f>
        <v>7</v>
      </c>
      <c r="M188" s="571">
        <f>ROUND(((L188/K188-1)*100), 1)</f>
        <v>40</v>
      </c>
      <c r="N188" s="589">
        <f>N189-SUM(N174:N187)</f>
        <v>6</v>
      </c>
      <c r="O188" s="589">
        <f t="shared" ref="O188" si="319">O189-SUM(O174:O187)</f>
        <v>16</v>
      </c>
      <c r="P188" s="235">
        <f>ROUND(((O188/N188-1)*100), 1)</f>
        <v>166.7</v>
      </c>
      <c r="Q188" s="359">
        <f>Q189-SUM(Q174:Q187)</f>
        <v>2</v>
      </c>
      <c r="R188" s="366">
        <f>R189-SUM(R174:R187)</f>
        <v>1</v>
      </c>
      <c r="S188" s="235">
        <f>ROUND(((R188/Q188-1)*100), 1)</f>
        <v>-50</v>
      </c>
      <c r="T188" s="589">
        <f>T189-SUM(T174:T187)</f>
        <v>8</v>
      </c>
      <c r="U188" s="589">
        <f t="shared" ref="U188" si="320">U189-SUM(U174:U187)</f>
        <v>17</v>
      </c>
      <c r="V188" s="235">
        <f>ROUND(((U188/T188-1)*100), 1)</f>
        <v>112.5</v>
      </c>
      <c r="W188" s="468">
        <f>W189-SUM(W174:W187)</f>
        <v>0</v>
      </c>
      <c r="X188" s="366">
        <f>X189-SUM(X174:X187)</f>
        <v>4</v>
      </c>
      <c r="Y188" s="580">
        <v>0</v>
      </c>
      <c r="Z188" s="630">
        <f>Z189-SUM(Z174:Z187)</f>
        <v>8</v>
      </c>
      <c r="AA188" s="630">
        <f t="shared" ref="AA188" si="321">AA189-SUM(AA174:AA187)</f>
        <v>21</v>
      </c>
      <c r="AB188" s="235">
        <f>ROUND(((AA188/Z188-1)*100), 1)</f>
        <v>162.5</v>
      </c>
      <c r="AC188" s="468">
        <f>AC189-SUM(AC174:AC187)</f>
        <v>0</v>
      </c>
      <c r="AD188" s="366">
        <f>AD189-SUM(AD174:AD187)</f>
        <v>4</v>
      </c>
      <c r="AE188" s="580">
        <v>0</v>
      </c>
      <c r="AF188" s="589">
        <f>AF189-SUM(AF174:AF187)</f>
        <v>8</v>
      </c>
      <c r="AG188" s="589">
        <f t="shared" ref="AG188" si="322">AG189-SUM(AG174:AG187)</f>
        <v>25</v>
      </c>
      <c r="AH188" s="235">
        <f>ROUND(((AG188/AF188-1)*100), 1)</f>
        <v>212.5</v>
      </c>
    </row>
    <row r="189" spans="1:34">
      <c r="A189" s="8"/>
      <c r="B189" s="63" t="s">
        <v>101</v>
      </c>
      <c r="C189" s="42">
        <v>7575</v>
      </c>
      <c r="D189" s="42">
        <v>9539</v>
      </c>
      <c r="E189" s="42">
        <v>11388</v>
      </c>
      <c r="F189" s="42">
        <v>12132</v>
      </c>
      <c r="G189" s="609">
        <v>14156</v>
      </c>
      <c r="H189" s="632">
        <v>1308</v>
      </c>
      <c r="I189" s="582">
        <v>1335</v>
      </c>
      <c r="J189" s="236">
        <f t="shared" si="318"/>
        <v>2.1</v>
      </c>
      <c r="K189" s="268">
        <f>N189-H189</f>
        <v>647</v>
      </c>
      <c r="L189" s="280">
        <f>O189-I189</f>
        <v>1156</v>
      </c>
      <c r="M189" s="236">
        <f>ROUND(((L189/K189-1)*100), 1)</f>
        <v>78.7</v>
      </c>
      <c r="N189" s="582">
        <v>1955</v>
      </c>
      <c r="O189" s="582">
        <v>2491</v>
      </c>
      <c r="P189" s="236">
        <f>ROUND(((O189/N189-1)*100), 1)</f>
        <v>27.4</v>
      </c>
      <c r="Q189" s="268">
        <f>T189-N189</f>
        <v>914</v>
      </c>
      <c r="R189" s="280">
        <f>U189-O189</f>
        <v>1093</v>
      </c>
      <c r="S189" s="236">
        <f>ROUND(((R189/Q189-1)*100), 1)</f>
        <v>19.600000000000001</v>
      </c>
      <c r="T189" s="582">
        <v>2869</v>
      </c>
      <c r="U189" s="582">
        <v>3584</v>
      </c>
      <c r="V189" s="236">
        <f>ROUND(((U189/T189-1)*100), 1)</f>
        <v>24.9</v>
      </c>
      <c r="W189" s="268">
        <f>Z189-T189</f>
        <v>1153</v>
      </c>
      <c r="X189" s="280">
        <f>AA189-U189</f>
        <v>1325</v>
      </c>
      <c r="Y189" s="236">
        <f>ROUND(((X189/W189-1)*100), 1)</f>
        <v>14.9</v>
      </c>
      <c r="Z189" s="632">
        <v>4022</v>
      </c>
      <c r="AA189" s="632">
        <v>4909</v>
      </c>
      <c r="AB189" s="236">
        <f>ROUND(((AA189/Z189-1)*100), 1)</f>
        <v>22.1</v>
      </c>
      <c r="AC189" s="268">
        <f>AF189-Z189</f>
        <v>1209</v>
      </c>
      <c r="AD189" s="280">
        <f>AG189-AA189</f>
        <v>1155</v>
      </c>
      <c r="AE189" s="236">
        <f>ROUND(((AD189/AC189-1)*100), 1)</f>
        <v>-4.5</v>
      </c>
      <c r="AF189" s="582">
        <v>5231</v>
      </c>
      <c r="AG189" s="582">
        <v>6064</v>
      </c>
      <c r="AH189" s="236">
        <f>ROUND(((AG189/AF189-1)*100), 1)</f>
        <v>15.9</v>
      </c>
    </row>
    <row r="190" spans="1:34">
      <c r="A190" s="108" t="s">
        <v>111</v>
      </c>
      <c r="J190" s="263"/>
      <c r="M190" s="263"/>
      <c r="P190" s="263"/>
      <c r="S190" s="263"/>
      <c r="V190" s="263"/>
      <c r="Y190" s="263"/>
      <c r="AB190" s="263"/>
      <c r="AE190" s="263"/>
      <c r="AH190" s="263"/>
    </row>
    <row r="191" spans="1:34">
      <c r="K191" s="292"/>
      <c r="Q191" s="292"/>
      <c r="W191" s="292"/>
      <c r="AC191" s="292"/>
    </row>
    <row r="192" spans="1:34">
      <c r="K192" s="292"/>
      <c r="Q192" s="292"/>
      <c r="W192" s="292"/>
      <c r="AC192" s="292"/>
    </row>
    <row r="193" spans="11:29">
      <c r="K193" s="292"/>
      <c r="Q193" s="292"/>
      <c r="W193" s="292"/>
      <c r="AC193" s="292"/>
    </row>
    <row r="194" spans="11:29">
      <c r="K194" s="292"/>
      <c r="Q194" s="292"/>
      <c r="W194" s="292"/>
      <c r="AC194" s="292"/>
    </row>
    <row r="195" spans="11:29">
      <c r="K195" s="292"/>
      <c r="Q195" s="292"/>
      <c r="W195" s="292"/>
      <c r="AC195" s="292"/>
    </row>
    <row r="196" spans="11:29">
      <c r="K196" s="292"/>
      <c r="Q196" s="292"/>
      <c r="W196" s="292"/>
      <c r="AC196" s="292"/>
    </row>
    <row r="197" spans="11:29">
      <c r="K197" s="292"/>
      <c r="Q197" s="292"/>
      <c r="W197" s="292"/>
      <c r="AC197" s="292"/>
    </row>
  </sheetData>
  <sortState ref="B170:BX182">
    <sortCondition descending="1" ref="G170:G182"/>
  </sortState>
  <mergeCells count="60">
    <mergeCell ref="Z98:AB98"/>
    <mergeCell ref="K3:M3"/>
    <mergeCell ref="K52:M52"/>
    <mergeCell ref="K98:M98"/>
    <mergeCell ref="K148:M148"/>
    <mergeCell ref="N3:P3"/>
    <mergeCell ref="N52:P52"/>
    <mergeCell ref="N98:P98"/>
    <mergeCell ref="N148:P148"/>
    <mergeCell ref="Q148:S148"/>
    <mergeCell ref="T148:V148"/>
    <mergeCell ref="Q3:S3"/>
    <mergeCell ref="T3:V3"/>
    <mergeCell ref="Q52:S52"/>
    <mergeCell ref="T52:V52"/>
    <mergeCell ref="Q98:S98"/>
    <mergeCell ref="T98:V98"/>
    <mergeCell ref="AC148:AE148"/>
    <mergeCell ref="AF148:AH148"/>
    <mergeCell ref="AC3:AE3"/>
    <mergeCell ref="AF3:AH3"/>
    <mergeCell ref="AC52:AE52"/>
    <mergeCell ref="AF52:AH52"/>
    <mergeCell ref="AC98:AE98"/>
    <mergeCell ref="AF98:AH98"/>
    <mergeCell ref="W148:Y148"/>
    <mergeCell ref="Z148:AB148"/>
    <mergeCell ref="W3:Y3"/>
    <mergeCell ref="Z3:AB3"/>
    <mergeCell ref="W52:Y52"/>
    <mergeCell ref="Z52:AB52"/>
    <mergeCell ref="W98:Y98"/>
    <mergeCell ref="A3:B4"/>
    <mergeCell ref="C3:C4"/>
    <mergeCell ref="A52:B53"/>
    <mergeCell ref="C98:C99"/>
    <mergeCell ref="D52:D53"/>
    <mergeCell ref="D3:D4"/>
    <mergeCell ref="H3:J3"/>
    <mergeCell ref="H52:J52"/>
    <mergeCell ref="D98:D99"/>
    <mergeCell ref="H98:J98"/>
    <mergeCell ref="E98:E99"/>
    <mergeCell ref="F3:F4"/>
    <mergeCell ref="F52:F53"/>
    <mergeCell ref="F98:F99"/>
    <mergeCell ref="E3:E4"/>
    <mergeCell ref="E52:E53"/>
    <mergeCell ref="G3:G4"/>
    <mergeCell ref="G52:G53"/>
    <mergeCell ref="G98:G99"/>
    <mergeCell ref="C148:C149"/>
    <mergeCell ref="D148:D149"/>
    <mergeCell ref="H148:J148"/>
    <mergeCell ref="E148:E149"/>
    <mergeCell ref="F148:F149"/>
    <mergeCell ref="A148:B149"/>
    <mergeCell ref="G148:G149"/>
    <mergeCell ref="A98:B99"/>
    <mergeCell ref="C52:C53"/>
  </mergeCells>
  <phoneticPr fontId="2" type="noConversion"/>
  <printOptions horizontalCentered="1"/>
  <pageMargins left="0.19685039370078741" right="0.19685039370078741" top="0.74803149606299213" bottom="0.44" header="0.31496062992125984" footer="0.31496062992125984"/>
  <pageSetup paperSize="9" scale="90" orientation="portrait" r:id="rId1"/>
  <rowBreaks count="3" manualBreakCount="3">
    <brk id="49" max="16383" man="1"/>
    <brk id="95" max="16383" man="1"/>
    <brk id="1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6.5"/>
  <cols>
    <col min="1" max="1" width="6" customWidth="1"/>
    <col min="2" max="2" width="18.875" customWidth="1"/>
    <col min="3" max="3" width="11" style="304" hidden="1" customWidth="1"/>
    <col min="4" max="4" width="11" style="595" customWidth="1"/>
    <col min="5" max="6" width="11" style="623" hidden="1" customWidth="1"/>
    <col min="7" max="7" width="9" hidden="1" customWidth="1"/>
    <col min="8" max="9" width="11" style="304" hidden="1" customWidth="1"/>
    <col min="10" max="10" width="9" style="277" hidden="1" customWidth="1"/>
    <col min="11" max="12" width="11" style="595" hidden="1" customWidth="1"/>
    <col min="13" max="13" width="9" style="277" hidden="1" customWidth="1"/>
    <col min="14" max="15" width="11" style="304" hidden="1" customWidth="1"/>
    <col min="16" max="16" width="9" style="277" hidden="1" customWidth="1"/>
    <col min="17" max="18" width="11" style="595" hidden="1" customWidth="1"/>
    <col min="19" max="19" width="9" style="277" hidden="1" customWidth="1"/>
    <col min="20" max="21" width="11" style="304" hidden="1" customWidth="1"/>
    <col min="22" max="22" width="9" style="277" hidden="1" customWidth="1"/>
    <col min="23" max="24" width="11" style="623" hidden="1" customWidth="1"/>
    <col min="25" max="25" width="9" style="277" hidden="1" customWidth="1"/>
    <col min="26" max="27" width="11" style="304" customWidth="1"/>
    <col min="28" max="28" width="9" style="277" customWidth="1"/>
    <col min="29" max="30" width="11" style="595" customWidth="1"/>
    <col min="31" max="31" width="9" style="277" customWidth="1"/>
  </cols>
  <sheetData>
    <row r="1" spans="1:31">
      <c r="A1" s="214" t="s">
        <v>292</v>
      </c>
      <c r="D1" s="341" t="s">
        <v>308</v>
      </c>
      <c r="G1" s="271"/>
      <c r="H1" s="215"/>
      <c r="N1" s="215"/>
      <c r="T1" s="215"/>
      <c r="Z1" s="215"/>
    </row>
    <row r="2" spans="1:31">
      <c r="G2" s="272" t="s">
        <v>87</v>
      </c>
      <c r="J2" s="287"/>
      <c r="M2" s="287" t="s">
        <v>87</v>
      </c>
      <c r="P2" s="287"/>
      <c r="S2" s="287" t="s">
        <v>87</v>
      </c>
      <c r="V2" s="287"/>
      <c r="Y2" s="287" t="s">
        <v>87</v>
      </c>
      <c r="AB2" s="287"/>
      <c r="AE2" s="287" t="s">
        <v>87</v>
      </c>
    </row>
    <row r="3" spans="1:31">
      <c r="A3" s="733" t="s">
        <v>88</v>
      </c>
      <c r="B3" s="733"/>
      <c r="C3" s="850" t="s">
        <v>294</v>
      </c>
      <c r="D3" s="850" t="s">
        <v>431</v>
      </c>
      <c r="E3" s="767" t="s">
        <v>33</v>
      </c>
      <c r="F3" s="733"/>
      <c r="G3" s="865"/>
      <c r="H3" s="837" t="s">
        <v>471</v>
      </c>
      <c r="I3" s="838"/>
      <c r="J3" s="839"/>
      <c r="K3" s="837" t="s">
        <v>472</v>
      </c>
      <c r="L3" s="838"/>
      <c r="M3" s="839"/>
      <c r="N3" s="837" t="s">
        <v>477</v>
      </c>
      <c r="O3" s="838"/>
      <c r="P3" s="839"/>
      <c r="Q3" s="837" t="s">
        <v>478</v>
      </c>
      <c r="R3" s="838"/>
      <c r="S3" s="839"/>
      <c r="T3" s="837" t="s">
        <v>484</v>
      </c>
      <c r="U3" s="838"/>
      <c r="V3" s="839"/>
      <c r="W3" s="837" t="s">
        <v>486</v>
      </c>
      <c r="X3" s="838"/>
      <c r="Y3" s="839"/>
      <c r="Z3" s="837" t="s">
        <v>497</v>
      </c>
      <c r="AA3" s="838"/>
      <c r="AB3" s="839"/>
      <c r="AC3" s="837" t="s">
        <v>498</v>
      </c>
      <c r="AD3" s="838"/>
      <c r="AE3" s="839"/>
    </row>
    <row r="4" spans="1:31">
      <c r="A4" s="733"/>
      <c r="B4" s="733"/>
      <c r="C4" s="851"/>
      <c r="D4" s="851"/>
      <c r="E4" s="698" t="s">
        <v>431</v>
      </c>
      <c r="F4" s="697" t="s">
        <v>503</v>
      </c>
      <c r="G4" s="531" t="s">
        <v>5</v>
      </c>
      <c r="H4" s="535" t="s">
        <v>431</v>
      </c>
      <c r="I4" s="533" t="s">
        <v>503</v>
      </c>
      <c r="J4" s="531" t="s">
        <v>5</v>
      </c>
      <c r="K4" s="535" t="s">
        <v>431</v>
      </c>
      <c r="L4" s="533" t="s">
        <v>503</v>
      </c>
      <c r="M4" s="531" t="s">
        <v>5</v>
      </c>
      <c r="N4" s="535" t="s">
        <v>431</v>
      </c>
      <c r="O4" s="533" t="s">
        <v>503</v>
      </c>
      <c r="P4" s="531" t="s">
        <v>5</v>
      </c>
      <c r="Q4" s="535" t="s">
        <v>431</v>
      </c>
      <c r="R4" s="533" t="s">
        <v>503</v>
      </c>
      <c r="S4" s="531" t="s">
        <v>5</v>
      </c>
      <c r="T4" s="535" t="s">
        <v>431</v>
      </c>
      <c r="U4" s="533" t="s">
        <v>503</v>
      </c>
      <c r="V4" s="531" t="s">
        <v>5</v>
      </c>
      <c r="W4" s="698" t="s">
        <v>431</v>
      </c>
      <c r="X4" s="697" t="s">
        <v>503</v>
      </c>
      <c r="Y4" s="531" t="s">
        <v>5</v>
      </c>
      <c r="Z4" s="535" t="s">
        <v>431</v>
      </c>
      <c r="AA4" s="533" t="s">
        <v>503</v>
      </c>
      <c r="AB4" s="531" t="s">
        <v>5</v>
      </c>
      <c r="AC4" s="535" t="s">
        <v>431</v>
      </c>
      <c r="AD4" s="533" t="s">
        <v>503</v>
      </c>
      <c r="AE4" s="531" t="s">
        <v>5</v>
      </c>
    </row>
    <row r="5" spans="1:31">
      <c r="A5" s="207"/>
      <c r="B5" s="81" t="s">
        <v>45</v>
      </c>
      <c r="C5" s="62">
        <v>1529</v>
      </c>
      <c r="D5" s="62">
        <v>1035</v>
      </c>
      <c r="E5" s="634">
        <v>60</v>
      </c>
      <c r="F5" s="634">
        <v>60</v>
      </c>
      <c r="G5" s="273">
        <f>ROUND(((F5/E5-1)*100), 1)</f>
        <v>0</v>
      </c>
      <c r="H5" s="360">
        <f t="shared" ref="H5:H17" si="0">K5-E5</f>
        <v>180</v>
      </c>
      <c r="I5" s="365">
        <f t="shared" ref="I5:I17" si="1">L5-F5</f>
        <v>41</v>
      </c>
      <c r="J5" s="288">
        <f>ROUND(((I5/H5-1)*100), 1)</f>
        <v>-77.2</v>
      </c>
      <c r="K5" s="584">
        <v>240</v>
      </c>
      <c r="L5" s="584">
        <v>101</v>
      </c>
      <c r="M5" s="288">
        <f>ROUND(((L5/K5-1)*100), 1)</f>
        <v>-57.9</v>
      </c>
      <c r="N5" s="360">
        <f t="shared" ref="N5:N17" si="2">Q5-K5</f>
        <v>0</v>
      </c>
      <c r="O5" s="365">
        <f t="shared" ref="O5:O17" si="3">R5-L5</f>
        <v>0</v>
      </c>
      <c r="P5" s="583">
        <v>0</v>
      </c>
      <c r="Q5" s="584">
        <v>240</v>
      </c>
      <c r="R5" s="584">
        <v>101</v>
      </c>
      <c r="S5" s="288">
        <f>ROUND(((R5/Q5-1)*100), 1)</f>
        <v>-57.9</v>
      </c>
      <c r="T5" s="469">
        <f t="shared" ref="T5:T17" si="4">W5-Q5</f>
        <v>0</v>
      </c>
      <c r="U5" s="365">
        <f t="shared" ref="U5:U17" si="5">X5-R5</f>
        <v>60</v>
      </c>
      <c r="V5" s="583">
        <v>0</v>
      </c>
      <c r="W5" s="634">
        <v>240</v>
      </c>
      <c r="X5" s="634">
        <v>161</v>
      </c>
      <c r="Y5" s="581">
        <f t="shared" ref="Y5:Y6" si="6">ROUND(((X5/W5-1)*100), 1)</f>
        <v>-32.9</v>
      </c>
      <c r="Z5" s="469">
        <f t="shared" ref="Z5:Z17" si="7">AC5-W5</f>
        <v>0</v>
      </c>
      <c r="AA5" s="365">
        <f t="shared" ref="AA5:AA17" si="8">AD5-X5</f>
        <v>59</v>
      </c>
      <c r="AB5" s="581"/>
      <c r="AC5" s="709">
        <v>240</v>
      </c>
      <c r="AD5" s="584">
        <v>220</v>
      </c>
      <c r="AE5" s="288">
        <f>ROUND(((AD5/AC5-1)*100), 1)</f>
        <v>-8.3000000000000007</v>
      </c>
    </row>
    <row r="6" spans="1:31">
      <c r="A6" s="209" t="s">
        <v>114</v>
      </c>
      <c r="B6" s="39" t="s">
        <v>47</v>
      </c>
      <c r="C6" s="40">
        <v>11</v>
      </c>
      <c r="D6" s="608">
        <v>298</v>
      </c>
      <c r="E6" s="630">
        <v>0</v>
      </c>
      <c r="F6" s="630">
        <v>51</v>
      </c>
      <c r="G6" s="583">
        <v>0</v>
      </c>
      <c r="H6" s="359">
        <f t="shared" si="0"/>
        <v>0</v>
      </c>
      <c r="I6" s="366">
        <f t="shared" si="1"/>
        <v>30</v>
      </c>
      <c r="J6" s="467">
        <v>0</v>
      </c>
      <c r="K6" s="589">
        <v>0</v>
      </c>
      <c r="L6" s="589">
        <v>81</v>
      </c>
      <c r="M6" s="583">
        <v>0</v>
      </c>
      <c r="N6" s="359">
        <f t="shared" si="2"/>
        <v>0</v>
      </c>
      <c r="O6" s="366">
        <f t="shared" si="3"/>
        <v>30</v>
      </c>
      <c r="P6" s="583">
        <v>0</v>
      </c>
      <c r="Q6" s="589">
        <v>0</v>
      </c>
      <c r="R6" s="589">
        <v>111</v>
      </c>
      <c r="S6" s="583">
        <v>0</v>
      </c>
      <c r="T6" s="468">
        <f t="shared" si="4"/>
        <v>7</v>
      </c>
      <c r="U6" s="366">
        <f t="shared" si="5"/>
        <v>40</v>
      </c>
      <c r="V6" s="581">
        <f t="shared" ref="V6:V11" si="9">ROUND(((U6/T6-1)*100), 1)</f>
        <v>471.4</v>
      </c>
      <c r="W6" s="630">
        <v>7</v>
      </c>
      <c r="X6" s="630">
        <v>151</v>
      </c>
      <c r="Y6" s="581">
        <f t="shared" si="6"/>
        <v>2057.1</v>
      </c>
      <c r="Z6" s="468">
        <f t="shared" si="7"/>
        <v>20</v>
      </c>
      <c r="AA6" s="366">
        <f t="shared" si="8"/>
        <v>50</v>
      </c>
      <c r="AB6" s="581">
        <f t="shared" ref="AB6:AB9" si="10">ROUND(((AA6/Z6-1)*100), 1)</f>
        <v>150</v>
      </c>
      <c r="AC6" s="710">
        <v>27</v>
      </c>
      <c r="AD6" s="589">
        <v>201</v>
      </c>
      <c r="AE6" s="581">
        <f t="shared" ref="AE6:AE7" si="11">ROUND(((AD6/AC6-1)*100), 1)</f>
        <v>644.4</v>
      </c>
    </row>
    <row r="7" spans="1:31">
      <c r="A7" s="209"/>
      <c r="B7" s="39" t="s">
        <v>50</v>
      </c>
      <c r="C7" s="40">
        <v>0</v>
      </c>
      <c r="D7" s="608">
        <v>245</v>
      </c>
      <c r="E7" s="630">
        <v>0</v>
      </c>
      <c r="F7" s="630">
        <v>61</v>
      </c>
      <c r="G7" s="583">
        <v>0</v>
      </c>
      <c r="H7" s="359">
        <f t="shared" si="0"/>
        <v>0</v>
      </c>
      <c r="I7" s="366">
        <f t="shared" si="1"/>
        <v>32</v>
      </c>
      <c r="J7" s="467">
        <v>0</v>
      </c>
      <c r="K7" s="589">
        <v>0</v>
      </c>
      <c r="L7" s="589">
        <v>93</v>
      </c>
      <c r="M7" s="583">
        <v>0</v>
      </c>
      <c r="N7" s="359">
        <f t="shared" si="2"/>
        <v>0</v>
      </c>
      <c r="O7" s="366">
        <f t="shared" si="3"/>
        <v>0</v>
      </c>
      <c r="P7" s="583">
        <v>0</v>
      </c>
      <c r="Q7" s="589">
        <v>0</v>
      </c>
      <c r="R7" s="589">
        <v>93</v>
      </c>
      <c r="S7" s="583">
        <v>0</v>
      </c>
      <c r="T7" s="468">
        <f t="shared" si="4"/>
        <v>0</v>
      </c>
      <c r="U7" s="366">
        <f t="shared" si="5"/>
        <v>0</v>
      </c>
      <c r="V7" s="583">
        <v>0</v>
      </c>
      <c r="W7" s="630">
        <v>0</v>
      </c>
      <c r="X7" s="630">
        <v>93</v>
      </c>
      <c r="Y7" s="583">
        <v>0</v>
      </c>
      <c r="Z7" s="468">
        <f t="shared" si="7"/>
        <v>4</v>
      </c>
      <c r="AA7" s="366">
        <f t="shared" si="8"/>
        <v>0</v>
      </c>
      <c r="AB7" s="581">
        <f t="shared" si="10"/>
        <v>-100</v>
      </c>
      <c r="AC7" s="710">
        <v>4</v>
      </c>
      <c r="AD7" s="589">
        <v>93</v>
      </c>
      <c r="AE7" s="581">
        <f t="shared" si="11"/>
        <v>2225</v>
      </c>
    </row>
    <row r="8" spans="1:31">
      <c r="A8" s="209"/>
      <c r="B8" s="39" t="s">
        <v>44</v>
      </c>
      <c r="C8" s="40">
        <v>49</v>
      </c>
      <c r="D8" s="608">
        <v>72</v>
      </c>
      <c r="E8" s="630">
        <v>8</v>
      </c>
      <c r="F8" s="630">
        <v>3</v>
      </c>
      <c r="G8" s="289">
        <f>ROUND(((F8/E8-1)*100), 1)</f>
        <v>-62.5</v>
      </c>
      <c r="H8" s="359">
        <f t="shared" si="0"/>
        <v>10</v>
      </c>
      <c r="I8" s="366">
        <f t="shared" si="1"/>
        <v>5</v>
      </c>
      <c r="J8" s="581">
        <f t="shared" ref="J8:J9" si="12">ROUND(((I8/H8-1)*100), 1)</f>
        <v>-50</v>
      </c>
      <c r="K8" s="589">
        <v>18</v>
      </c>
      <c r="L8" s="589">
        <v>8</v>
      </c>
      <c r="M8" s="289">
        <f>ROUND(((L8/K8-1)*100), 1)</f>
        <v>-55.6</v>
      </c>
      <c r="N8" s="359">
        <f t="shared" si="2"/>
        <v>3</v>
      </c>
      <c r="O8" s="366">
        <f t="shared" si="3"/>
        <v>2</v>
      </c>
      <c r="P8" s="289">
        <f>ROUND(((O8/N8-1)*100), 1)</f>
        <v>-33.299999999999997</v>
      </c>
      <c r="Q8" s="589">
        <v>21</v>
      </c>
      <c r="R8" s="589">
        <v>10</v>
      </c>
      <c r="S8" s="289">
        <f>ROUND(((R8/Q8-1)*100), 1)</f>
        <v>-52.4</v>
      </c>
      <c r="T8" s="468">
        <f t="shared" si="4"/>
        <v>0</v>
      </c>
      <c r="U8" s="366">
        <f t="shared" si="5"/>
        <v>20</v>
      </c>
      <c r="V8" s="583">
        <v>0</v>
      </c>
      <c r="W8" s="630">
        <v>21</v>
      </c>
      <c r="X8" s="630">
        <v>30</v>
      </c>
      <c r="Y8" s="289">
        <f>ROUND(((X8/W8-1)*100), 1)</f>
        <v>42.9</v>
      </c>
      <c r="Z8" s="468">
        <f t="shared" si="7"/>
        <v>3</v>
      </c>
      <c r="AA8" s="366">
        <f t="shared" si="8"/>
        <v>18</v>
      </c>
      <c r="AB8" s="581">
        <f t="shared" si="10"/>
        <v>500</v>
      </c>
      <c r="AC8" s="710">
        <v>24</v>
      </c>
      <c r="AD8" s="589">
        <v>48</v>
      </c>
      <c r="AE8" s="289">
        <f>ROUND(((AD8/AC8-1)*100), 1)</f>
        <v>100</v>
      </c>
    </row>
    <row r="9" spans="1:31">
      <c r="A9" s="209"/>
      <c r="B9" s="39" t="s">
        <v>43</v>
      </c>
      <c r="C9" s="40">
        <v>270</v>
      </c>
      <c r="D9" s="608">
        <v>46</v>
      </c>
      <c r="E9" s="630">
        <v>5</v>
      </c>
      <c r="F9" s="630">
        <v>0</v>
      </c>
      <c r="G9" s="581">
        <f>ROUND(((F9/E9-1)*100), 1)</f>
        <v>-100</v>
      </c>
      <c r="H9" s="359">
        <f t="shared" si="0"/>
        <v>6</v>
      </c>
      <c r="I9" s="366">
        <f t="shared" si="1"/>
        <v>0</v>
      </c>
      <c r="J9" s="581">
        <f t="shared" si="12"/>
        <v>-100</v>
      </c>
      <c r="K9" s="589">
        <v>11</v>
      </c>
      <c r="L9" s="589">
        <v>0</v>
      </c>
      <c r="M9" s="289">
        <f>ROUND(((L9/K9-1)*100), 1)</f>
        <v>-100</v>
      </c>
      <c r="N9" s="587">
        <f t="shared" ref="N9:N13" si="13">Q9-K9</f>
        <v>3</v>
      </c>
      <c r="O9" s="589">
        <f t="shared" ref="O9:O13" si="14">R9-L9</f>
        <v>1</v>
      </c>
      <c r="P9" s="581">
        <f t="shared" ref="P9:P11" si="15">ROUND(((O9/N9-1)*100), 1)</f>
        <v>-66.7</v>
      </c>
      <c r="Q9" s="589">
        <v>14</v>
      </c>
      <c r="R9" s="589">
        <v>1</v>
      </c>
      <c r="S9" s="289">
        <f>ROUND(((R9/Q9-1)*100), 1)</f>
        <v>-92.9</v>
      </c>
      <c r="T9" s="468">
        <f t="shared" si="4"/>
        <v>2</v>
      </c>
      <c r="U9" s="366">
        <f t="shared" si="5"/>
        <v>100</v>
      </c>
      <c r="V9" s="581">
        <f t="shared" si="9"/>
        <v>4900</v>
      </c>
      <c r="W9" s="630">
        <v>16</v>
      </c>
      <c r="X9" s="630">
        <v>101</v>
      </c>
      <c r="Y9" s="289">
        <f>ROUND(((X9/W9-1)*100), 1)</f>
        <v>531.29999999999995</v>
      </c>
      <c r="Z9" s="468">
        <f t="shared" si="7"/>
        <v>2</v>
      </c>
      <c r="AA9" s="366">
        <f t="shared" si="8"/>
        <v>98</v>
      </c>
      <c r="AB9" s="581">
        <f t="shared" si="10"/>
        <v>4800</v>
      </c>
      <c r="AC9" s="710">
        <v>18</v>
      </c>
      <c r="AD9" s="589">
        <v>199</v>
      </c>
      <c r="AE9" s="289">
        <f>ROUND(((AD9/AC9-1)*100), 1)</f>
        <v>1005.6</v>
      </c>
    </row>
    <row r="10" spans="1:31">
      <c r="A10" s="209"/>
      <c r="B10" s="39" t="s">
        <v>52</v>
      </c>
      <c r="C10" s="40">
        <v>48</v>
      </c>
      <c r="D10" s="608">
        <v>40</v>
      </c>
      <c r="E10" s="630">
        <v>3</v>
      </c>
      <c r="F10" s="630">
        <v>2</v>
      </c>
      <c r="G10" s="581">
        <f>ROUND(((F10/E10-1)*100), 1)</f>
        <v>-33.299999999999997</v>
      </c>
      <c r="H10" s="359">
        <f t="shared" si="0"/>
        <v>3</v>
      </c>
      <c r="I10" s="366">
        <f t="shared" si="1"/>
        <v>0</v>
      </c>
      <c r="J10" s="581">
        <f>ROUND(((I10/H10-1)*100), 1)</f>
        <v>-100</v>
      </c>
      <c r="K10" s="589">
        <v>6</v>
      </c>
      <c r="L10" s="589">
        <v>2</v>
      </c>
      <c r="M10" s="581">
        <f>ROUND(((L10/K10-1)*100), 1)</f>
        <v>-66.7</v>
      </c>
      <c r="N10" s="587">
        <f t="shared" si="13"/>
        <v>3</v>
      </c>
      <c r="O10" s="589">
        <f t="shared" si="14"/>
        <v>0</v>
      </c>
      <c r="P10" s="581">
        <f t="shared" si="15"/>
        <v>-100</v>
      </c>
      <c r="Q10" s="589">
        <v>9</v>
      </c>
      <c r="R10" s="589">
        <v>2</v>
      </c>
      <c r="S10" s="581">
        <f>ROUND(((R10/Q10-1)*100), 1)</f>
        <v>-77.8</v>
      </c>
      <c r="T10" s="468">
        <f t="shared" si="4"/>
        <v>0</v>
      </c>
      <c r="U10" s="366">
        <f t="shared" si="5"/>
        <v>1</v>
      </c>
      <c r="V10" s="583">
        <v>0</v>
      </c>
      <c r="W10" s="630">
        <v>9</v>
      </c>
      <c r="X10" s="630">
        <v>3</v>
      </c>
      <c r="Y10" s="581">
        <f>ROUND(((X10/W10-1)*100), 1)</f>
        <v>-66.7</v>
      </c>
      <c r="Z10" s="468">
        <f t="shared" si="7"/>
        <v>0</v>
      </c>
      <c r="AA10" s="366">
        <f t="shared" si="8"/>
        <v>7</v>
      </c>
      <c r="AB10" s="583">
        <v>0</v>
      </c>
      <c r="AC10" s="710">
        <v>9</v>
      </c>
      <c r="AD10" s="589">
        <v>10</v>
      </c>
      <c r="AE10" s="581">
        <f>ROUND(((AD10/AC10-1)*100), 1)</f>
        <v>11.1</v>
      </c>
    </row>
    <row r="11" spans="1:31">
      <c r="A11" s="209"/>
      <c r="B11" s="39" t="s">
        <v>51</v>
      </c>
      <c r="C11" s="40">
        <v>37</v>
      </c>
      <c r="D11" s="608">
        <v>35</v>
      </c>
      <c r="E11" s="630">
        <v>4</v>
      </c>
      <c r="F11" s="630">
        <v>0</v>
      </c>
      <c r="G11" s="581">
        <f>ROUND(((F11/E11-1)*100), 1)</f>
        <v>-100</v>
      </c>
      <c r="H11" s="359">
        <f t="shared" si="0"/>
        <v>7</v>
      </c>
      <c r="I11" s="366">
        <f t="shared" si="1"/>
        <v>3</v>
      </c>
      <c r="J11" s="581">
        <f>ROUND(((I11/H11-1)*100), 1)</f>
        <v>-57.1</v>
      </c>
      <c r="K11" s="589">
        <v>11</v>
      </c>
      <c r="L11" s="589">
        <v>3</v>
      </c>
      <c r="M11" s="581">
        <f>ROUND(((L11/K11-1)*100), 1)</f>
        <v>-72.7</v>
      </c>
      <c r="N11" s="587">
        <f t="shared" si="13"/>
        <v>8</v>
      </c>
      <c r="O11" s="589">
        <f t="shared" si="14"/>
        <v>0</v>
      </c>
      <c r="P11" s="581">
        <f t="shared" si="15"/>
        <v>-100</v>
      </c>
      <c r="Q11" s="589">
        <v>19</v>
      </c>
      <c r="R11" s="589">
        <v>3</v>
      </c>
      <c r="S11" s="289">
        <f>ROUND(((R11/Q11-1)*100), 1)</f>
        <v>-84.2</v>
      </c>
      <c r="T11" s="468">
        <f t="shared" si="4"/>
        <v>5</v>
      </c>
      <c r="U11" s="366">
        <f t="shared" si="5"/>
        <v>1</v>
      </c>
      <c r="V11" s="581">
        <f t="shared" si="9"/>
        <v>-80</v>
      </c>
      <c r="W11" s="630">
        <v>24</v>
      </c>
      <c r="X11" s="630">
        <v>4</v>
      </c>
      <c r="Y11" s="289">
        <f>ROUND(((X11/W11-1)*100), 1)</f>
        <v>-83.3</v>
      </c>
      <c r="Z11" s="468">
        <f t="shared" si="7"/>
        <v>0</v>
      </c>
      <c r="AA11" s="366">
        <f t="shared" si="8"/>
        <v>0</v>
      </c>
      <c r="AB11" s="583">
        <v>0</v>
      </c>
      <c r="AC11" s="710">
        <v>24</v>
      </c>
      <c r="AD11" s="589">
        <v>4</v>
      </c>
      <c r="AE11" s="289">
        <f>ROUND(((AD11/AC11-1)*100), 1)</f>
        <v>-83.3</v>
      </c>
    </row>
    <row r="12" spans="1:31" s="605" customFormat="1">
      <c r="A12" s="690"/>
      <c r="B12" s="611" t="s">
        <v>568</v>
      </c>
      <c r="C12" s="342">
        <v>0</v>
      </c>
      <c r="D12" s="608">
        <v>1</v>
      </c>
      <c r="E12" s="630">
        <v>0</v>
      </c>
      <c r="F12" s="630">
        <v>145</v>
      </c>
      <c r="G12" s="583">
        <v>0</v>
      </c>
      <c r="H12" s="587"/>
      <c r="I12" s="589">
        <f t="shared" si="1"/>
        <v>0</v>
      </c>
      <c r="J12" s="581"/>
      <c r="K12" s="589">
        <v>0</v>
      </c>
      <c r="L12" s="589">
        <v>145</v>
      </c>
      <c r="M12" s="581"/>
      <c r="N12" s="587">
        <f t="shared" si="13"/>
        <v>0</v>
      </c>
      <c r="O12" s="589">
        <f t="shared" si="14"/>
        <v>0</v>
      </c>
      <c r="P12" s="583">
        <v>0</v>
      </c>
      <c r="Q12" s="589"/>
      <c r="R12" s="589">
        <v>145</v>
      </c>
      <c r="S12" s="583">
        <v>0</v>
      </c>
      <c r="T12" s="587">
        <f t="shared" ref="T12" si="16">W12-Q12</f>
        <v>0</v>
      </c>
      <c r="U12" s="589">
        <f t="shared" ref="U12" si="17">X12-R12</f>
        <v>0</v>
      </c>
      <c r="V12" s="583">
        <v>0</v>
      </c>
      <c r="W12" s="630">
        <v>0</v>
      </c>
      <c r="X12" s="630">
        <v>145</v>
      </c>
      <c r="Y12" s="583">
        <v>0</v>
      </c>
      <c r="Z12" s="587">
        <f t="shared" ref="Z12" si="18">AC12-W12</f>
        <v>0</v>
      </c>
      <c r="AA12" s="589">
        <f t="shared" ref="AA12" si="19">AD12-X12</f>
        <v>0</v>
      </c>
      <c r="AB12" s="583">
        <v>0</v>
      </c>
      <c r="AC12" s="710">
        <v>0</v>
      </c>
      <c r="AD12" s="589">
        <v>145</v>
      </c>
      <c r="AE12" s="583">
        <v>0</v>
      </c>
    </row>
    <row r="13" spans="1:31">
      <c r="A13" s="209"/>
      <c r="B13" s="39" t="s">
        <v>138</v>
      </c>
      <c r="C13" s="40">
        <v>1</v>
      </c>
      <c r="D13" s="608">
        <v>0</v>
      </c>
      <c r="E13" s="630">
        <v>0</v>
      </c>
      <c r="F13" s="630">
        <v>0</v>
      </c>
      <c r="G13" s="344">
        <v>0</v>
      </c>
      <c r="H13" s="359">
        <f t="shared" si="0"/>
        <v>0</v>
      </c>
      <c r="I13" s="366">
        <f t="shared" si="1"/>
        <v>0</v>
      </c>
      <c r="J13" s="344">
        <v>0</v>
      </c>
      <c r="K13" s="589">
        <v>0</v>
      </c>
      <c r="L13" s="589">
        <v>0</v>
      </c>
      <c r="M13" s="344">
        <v>0</v>
      </c>
      <c r="N13" s="587">
        <f t="shared" si="13"/>
        <v>0</v>
      </c>
      <c r="O13" s="589">
        <f t="shared" si="14"/>
        <v>0</v>
      </c>
      <c r="P13" s="583">
        <v>0</v>
      </c>
      <c r="Q13" s="589">
        <v>0</v>
      </c>
      <c r="R13" s="589">
        <v>0</v>
      </c>
      <c r="S13" s="583">
        <v>0</v>
      </c>
      <c r="T13" s="468">
        <f t="shared" si="4"/>
        <v>0</v>
      </c>
      <c r="U13" s="366">
        <f t="shared" si="5"/>
        <v>0</v>
      </c>
      <c r="V13" s="467">
        <v>0</v>
      </c>
      <c r="W13" s="630">
        <v>0</v>
      </c>
      <c r="X13" s="630">
        <v>0</v>
      </c>
      <c r="Y13" s="583">
        <v>0</v>
      </c>
      <c r="Z13" s="468">
        <f t="shared" si="7"/>
        <v>0</v>
      </c>
      <c r="AA13" s="366">
        <f t="shared" si="8"/>
        <v>0</v>
      </c>
      <c r="AB13" s="467">
        <v>0</v>
      </c>
      <c r="AC13" s="710">
        <v>0</v>
      </c>
      <c r="AD13" s="589">
        <v>0</v>
      </c>
      <c r="AE13" s="583">
        <v>0</v>
      </c>
    </row>
    <row r="14" spans="1:31">
      <c r="A14" s="209"/>
      <c r="B14" s="39" t="s">
        <v>233</v>
      </c>
      <c r="C14" s="40">
        <v>0</v>
      </c>
      <c r="D14" s="608">
        <v>0</v>
      </c>
      <c r="E14" s="630">
        <v>0</v>
      </c>
      <c r="F14" s="630">
        <v>0</v>
      </c>
      <c r="G14" s="344">
        <v>0</v>
      </c>
      <c r="H14" s="359">
        <f t="shared" si="0"/>
        <v>0</v>
      </c>
      <c r="I14" s="366">
        <f t="shared" si="1"/>
        <v>0</v>
      </c>
      <c r="J14" s="344">
        <v>0</v>
      </c>
      <c r="K14" s="589">
        <v>0</v>
      </c>
      <c r="L14" s="589">
        <v>0</v>
      </c>
      <c r="M14" s="344">
        <v>0</v>
      </c>
      <c r="N14" s="359">
        <f t="shared" si="2"/>
        <v>0</v>
      </c>
      <c r="O14" s="366">
        <f t="shared" si="3"/>
        <v>0</v>
      </c>
      <c r="P14" s="344">
        <v>0</v>
      </c>
      <c r="Q14" s="589">
        <v>0</v>
      </c>
      <c r="R14" s="589">
        <v>0</v>
      </c>
      <c r="S14" s="344">
        <v>0</v>
      </c>
      <c r="T14" s="468">
        <f t="shared" si="4"/>
        <v>0</v>
      </c>
      <c r="U14" s="366">
        <f t="shared" si="5"/>
        <v>0</v>
      </c>
      <c r="V14" s="467">
        <v>0</v>
      </c>
      <c r="W14" s="630">
        <v>0</v>
      </c>
      <c r="X14" s="630">
        <v>0</v>
      </c>
      <c r="Y14" s="467">
        <v>0</v>
      </c>
      <c r="Z14" s="468">
        <f t="shared" si="7"/>
        <v>0</v>
      </c>
      <c r="AA14" s="366">
        <f t="shared" si="8"/>
        <v>0</v>
      </c>
      <c r="AB14" s="467">
        <v>0</v>
      </c>
      <c r="AC14" s="710">
        <v>0</v>
      </c>
      <c r="AD14" s="589">
        <v>0</v>
      </c>
      <c r="AE14" s="467">
        <v>0</v>
      </c>
    </row>
    <row r="15" spans="1:31">
      <c r="A15" s="209"/>
      <c r="B15" s="39" t="s">
        <v>70</v>
      </c>
      <c r="C15" s="40">
        <v>0</v>
      </c>
      <c r="D15" s="608">
        <v>0</v>
      </c>
      <c r="E15" s="630">
        <v>0</v>
      </c>
      <c r="F15" s="630">
        <v>0</v>
      </c>
      <c r="G15" s="344">
        <v>0</v>
      </c>
      <c r="H15" s="359">
        <f t="shared" si="0"/>
        <v>0</v>
      </c>
      <c r="I15" s="366">
        <f t="shared" si="1"/>
        <v>0</v>
      </c>
      <c r="J15" s="344">
        <v>0</v>
      </c>
      <c r="K15" s="589">
        <v>0</v>
      </c>
      <c r="L15" s="589">
        <v>0</v>
      </c>
      <c r="M15" s="344">
        <v>0</v>
      </c>
      <c r="N15" s="359">
        <f t="shared" si="2"/>
        <v>0</v>
      </c>
      <c r="O15" s="366">
        <f t="shared" si="3"/>
        <v>0</v>
      </c>
      <c r="P15" s="344">
        <v>0</v>
      </c>
      <c r="Q15" s="589">
        <v>0</v>
      </c>
      <c r="R15" s="589">
        <v>0</v>
      </c>
      <c r="S15" s="344">
        <v>0</v>
      </c>
      <c r="T15" s="468">
        <f t="shared" si="4"/>
        <v>0</v>
      </c>
      <c r="U15" s="366">
        <f t="shared" si="5"/>
        <v>0</v>
      </c>
      <c r="V15" s="467">
        <v>0</v>
      </c>
      <c r="W15" s="630">
        <v>0</v>
      </c>
      <c r="X15" s="630">
        <v>0</v>
      </c>
      <c r="Y15" s="467">
        <v>0</v>
      </c>
      <c r="Z15" s="468">
        <f t="shared" si="7"/>
        <v>0</v>
      </c>
      <c r="AA15" s="366">
        <f t="shared" si="8"/>
        <v>0</v>
      </c>
      <c r="AB15" s="467">
        <v>0</v>
      </c>
      <c r="AC15" s="710">
        <v>0</v>
      </c>
      <c r="AD15" s="589">
        <v>0</v>
      </c>
      <c r="AE15" s="467">
        <v>0</v>
      </c>
    </row>
    <row r="16" spans="1:31">
      <c r="A16" s="209"/>
      <c r="B16" s="39" t="s">
        <v>66</v>
      </c>
      <c r="C16" s="40">
        <v>0</v>
      </c>
      <c r="D16" s="608">
        <v>0</v>
      </c>
      <c r="E16" s="630">
        <v>0</v>
      </c>
      <c r="F16" s="630">
        <v>0</v>
      </c>
      <c r="G16" s="344">
        <v>0</v>
      </c>
      <c r="H16" s="359">
        <f t="shared" si="0"/>
        <v>0</v>
      </c>
      <c r="I16" s="366">
        <f t="shared" si="1"/>
        <v>0</v>
      </c>
      <c r="J16" s="344">
        <v>0</v>
      </c>
      <c r="K16" s="589">
        <v>0</v>
      </c>
      <c r="L16" s="589">
        <v>0</v>
      </c>
      <c r="M16" s="344">
        <v>0</v>
      </c>
      <c r="N16" s="359">
        <f t="shared" si="2"/>
        <v>0</v>
      </c>
      <c r="O16" s="366">
        <f t="shared" si="3"/>
        <v>0</v>
      </c>
      <c r="P16" s="344">
        <v>0</v>
      </c>
      <c r="Q16" s="589">
        <v>0</v>
      </c>
      <c r="R16" s="589">
        <v>0</v>
      </c>
      <c r="S16" s="344">
        <v>0</v>
      </c>
      <c r="T16" s="468">
        <f t="shared" si="4"/>
        <v>0</v>
      </c>
      <c r="U16" s="366">
        <f t="shared" si="5"/>
        <v>0</v>
      </c>
      <c r="V16" s="467">
        <v>0</v>
      </c>
      <c r="W16" s="630">
        <v>0</v>
      </c>
      <c r="X16" s="630">
        <v>0</v>
      </c>
      <c r="Y16" s="467">
        <v>0</v>
      </c>
      <c r="Z16" s="468">
        <f t="shared" si="7"/>
        <v>0</v>
      </c>
      <c r="AA16" s="366">
        <f t="shared" si="8"/>
        <v>0</v>
      </c>
      <c r="AB16" s="467">
        <v>0</v>
      </c>
      <c r="AC16" s="710">
        <v>0</v>
      </c>
      <c r="AD16" s="589">
        <v>0</v>
      </c>
      <c r="AE16" s="467">
        <v>0</v>
      </c>
    </row>
    <row r="17" spans="1:31">
      <c r="A17" s="209"/>
      <c r="B17" s="39" t="s">
        <v>54</v>
      </c>
      <c r="C17" s="40">
        <v>0</v>
      </c>
      <c r="D17" s="608">
        <v>0</v>
      </c>
      <c r="E17" s="630">
        <v>0</v>
      </c>
      <c r="F17" s="630">
        <v>0</v>
      </c>
      <c r="G17" s="344">
        <v>0</v>
      </c>
      <c r="H17" s="359">
        <f t="shared" si="0"/>
        <v>0</v>
      </c>
      <c r="I17" s="366">
        <f t="shared" si="1"/>
        <v>36</v>
      </c>
      <c r="J17" s="344">
        <v>0</v>
      </c>
      <c r="K17" s="589">
        <v>0</v>
      </c>
      <c r="L17" s="589">
        <v>36</v>
      </c>
      <c r="M17" s="344">
        <v>0</v>
      </c>
      <c r="N17" s="359">
        <f t="shared" si="2"/>
        <v>0</v>
      </c>
      <c r="O17" s="366">
        <f t="shared" si="3"/>
        <v>0</v>
      </c>
      <c r="P17" s="344">
        <v>0</v>
      </c>
      <c r="Q17" s="589">
        <v>0</v>
      </c>
      <c r="R17" s="589">
        <v>36</v>
      </c>
      <c r="S17" s="344">
        <v>0</v>
      </c>
      <c r="T17" s="468">
        <f t="shared" si="4"/>
        <v>0</v>
      </c>
      <c r="U17" s="366">
        <f t="shared" si="5"/>
        <v>0</v>
      </c>
      <c r="V17" s="467">
        <v>0</v>
      </c>
      <c r="W17" s="630">
        <v>0</v>
      </c>
      <c r="X17" s="630">
        <v>36</v>
      </c>
      <c r="Y17" s="467">
        <v>0</v>
      </c>
      <c r="Z17" s="468">
        <f t="shared" si="7"/>
        <v>0</v>
      </c>
      <c r="AA17" s="366">
        <f t="shared" si="8"/>
        <v>0</v>
      </c>
      <c r="AB17" s="467">
        <v>0</v>
      </c>
      <c r="AC17" s="710">
        <v>0</v>
      </c>
      <c r="AD17" s="589">
        <v>36</v>
      </c>
      <c r="AE17" s="467">
        <v>0</v>
      </c>
    </row>
    <row r="18" spans="1:31">
      <c r="A18" s="209"/>
      <c r="B18" s="39" t="s">
        <v>18</v>
      </c>
      <c r="C18" s="40">
        <f>C19-SUM(C5:C17)</f>
        <v>0</v>
      </c>
      <c r="D18" s="608">
        <f>D19-SUM(D5:D17)</f>
        <v>25</v>
      </c>
      <c r="E18" s="630">
        <f>E19-SUM(E5:E17)</f>
        <v>0</v>
      </c>
      <c r="F18" s="630">
        <f>F19-SUM(F5:F17)</f>
        <v>1</v>
      </c>
      <c r="G18" s="172">
        <v>0</v>
      </c>
      <c r="H18" s="359">
        <f>H19-SUM(H5:H17)</f>
        <v>16</v>
      </c>
      <c r="I18" s="366">
        <f>I19-SUM(I5:I17)</f>
        <v>0</v>
      </c>
      <c r="J18" s="659">
        <f>ROUND(((I18/H18-1)*100), 1)</f>
        <v>-100</v>
      </c>
      <c r="K18" s="589">
        <f>K19-SUM(K5:K17)</f>
        <v>16</v>
      </c>
      <c r="L18" s="589">
        <f>L19-SUM(L5:L17)</f>
        <v>1</v>
      </c>
      <c r="M18" s="659">
        <f>ROUND(((L18/K18-1)*100), 1)</f>
        <v>-93.8</v>
      </c>
      <c r="N18" s="359">
        <f>N19-SUM(N5:N17)</f>
        <v>7</v>
      </c>
      <c r="O18" s="366">
        <f>O19-SUM(O5:O17)</f>
        <v>0</v>
      </c>
      <c r="P18" s="581">
        <f>ROUND(((O18/N18-1)*100), 1)</f>
        <v>-100</v>
      </c>
      <c r="Q18" s="589">
        <f>Q19-SUM(Q5:Q17)</f>
        <v>23</v>
      </c>
      <c r="R18" s="589">
        <f>R19-SUM(R5:R17)</f>
        <v>1</v>
      </c>
      <c r="S18" s="581">
        <f>ROUND(((R18/Q18-1)*100), 1)</f>
        <v>-95.7</v>
      </c>
      <c r="T18" s="468">
        <f>T19-SUM(T5:T17)</f>
        <v>0</v>
      </c>
      <c r="U18" s="366">
        <f>U19-SUM(U5:U17)</f>
        <v>2</v>
      </c>
      <c r="V18" s="463">
        <v>0</v>
      </c>
      <c r="W18" s="630">
        <f>W19-SUM(W5:W17)</f>
        <v>23</v>
      </c>
      <c r="X18" s="630">
        <f>X19-SUM(X5:X17)</f>
        <v>3</v>
      </c>
      <c r="Y18" s="581">
        <f>ROUND(((X18/W18-1)*100), 1)</f>
        <v>-87</v>
      </c>
      <c r="Z18" s="468">
        <f>Z19-SUM(Z5:Z17)</f>
        <v>0</v>
      </c>
      <c r="AA18" s="366">
        <f>AA19-SUM(AA5:AA17)</f>
        <v>1</v>
      </c>
      <c r="AB18" s="463">
        <v>0</v>
      </c>
      <c r="AC18" s="589">
        <f>AC19-SUM(AC5:AC17)</f>
        <v>23</v>
      </c>
      <c r="AD18" s="589">
        <f>AD19-SUM(AD5:AD17)</f>
        <v>4</v>
      </c>
      <c r="AE18" s="581">
        <f>ROUND(((AD18/AC18-1)*100), 1)</f>
        <v>-82.6</v>
      </c>
    </row>
    <row r="19" spans="1:31">
      <c r="A19" s="208"/>
      <c r="B19" s="63" t="s">
        <v>101</v>
      </c>
      <c r="C19" s="42">
        <v>1945</v>
      </c>
      <c r="D19" s="609">
        <v>1797</v>
      </c>
      <c r="E19" s="632">
        <v>80</v>
      </c>
      <c r="F19" s="632">
        <v>323</v>
      </c>
      <c r="G19" s="273">
        <f t="shared" ref="G19" si="20">ROUND(((F19/E19-1)*100), 1)</f>
        <v>303.8</v>
      </c>
      <c r="H19" s="376">
        <f t="shared" ref="H19:H34" si="21">K19-E19</f>
        <v>222</v>
      </c>
      <c r="I19" s="280">
        <f t="shared" ref="I19:I34" si="22">L19-F19</f>
        <v>147</v>
      </c>
      <c r="J19" s="288">
        <f t="shared" ref="J19" si="23">ROUND(((I19/H19-1)*100), 1)</f>
        <v>-33.799999999999997</v>
      </c>
      <c r="K19" s="582">
        <v>302</v>
      </c>
      <c r="L19" s="582">
        <v>470</v>
      </c>
      <c r="M19" s="288">
        <f t="shared" ref="M19" si="24">ROUND(((L19/K19-1)*100), 1)</f>
        <v>55.6</v>
      </c>
      <c r="N19" s="376">
        <f t="shared" ref="N19:N34" si="25">Q19-K19</f>
        <v>24</v>
      </c>
      <c r="O19" s="280">
        <f t="shared" ref="O19:O34" si="26">R19-L19</f>
        <v>33</v>
      </c>
      <c r="P19" s="288">
        <f t="shared" ref="P19" si="27">ROUND(((O19/N19-1)*100), 1)</f>
        <v>37.5</v>
      </c>
      <c r="Q19" s="582">
        <v>326</v>
      </c>
      <c r="R19" s="582">
        <v>503</v>
      </c>
      <c r="S19" s="288">
        <f t="shared" ref="S19" si="28">ROUND(((R19/Q19-1)*100), 1)</f>
        <v>54.3</v>
      </c>
      <c r="T19" s="376">
        <f t="shared" ref="T19:T34" si="29">W19-Q19</f>
        <v>14</v>
      </c>
      <c r="U19" s="280">
        <f t="shared" ref="U19:U34" si="30">X19-R19</f>
        <v>224</v>
      </c>
      <c r="V19" s="288">
        <f t="shared" ref="V19" si="31">ROUND(((U19/T19-1)*100), 1)</f>
        <v>1500</v>
      </c>
      <c r="W19" s="632">
        <v>340</v>
      </c>
      <c r="X19" s="632">
        <v>727</v>
      </c>
      <c r="Y19" s="288">
        <f t="shared" ref="Y19" si="32">ROUND(((X19/W19-1)*100), 1)</f>
        <v>113.8</v>
      </c>
      <c r="Z19" s="376">
        <f t="shared" ref="Z19:Z34" si="33">AC19-W19</f>
        <v>29</v>
      </c>
      <c r="AA19" s="280">
        <f t="shared" ref="AA19:AA34" si="34">AD19-X19</f>
        <v>233</v>
      </c>
      <c r="AB19" s="288">
        <f t="shared" ref="AB19" si="35">ROUND(((AA19/Z19-1)*100), 1)</f>
        <v>703.4</v>
      </c>
      <c r="AC19" s="582">
        <v>369</v>
      </c>
      <c r="AD19" s="582">
        <v>960</v>
      </c>
      <c r="AE19" s="288">
        <f t="shared" ref="AE19" si="36">ROUND(((AD19/AC19-1)*100), 1)</f>
        <v>160.19999999999999</v>
      </c>
    </row>
    <row r="20" spans="1:31">
      <c r="A20" s="209"/>
      <c r="B20" s="39" t="s">
        <v>54</v>
      </c>
      <c r="C20" s="40">
        <v>12231</v>
      </c>
      <c r="D20" s="608">
        <v>10494</v>
      </c>
      <c r="E20" s="630">
        <v>1373</v>
      </c>
      <c r="F20" s="630">
        <v>1200</v>
      </c>
      <c r="G20" s="273">
        <f t="shared" ref="G20:G27" si="37">ROUND(((F20/E20-1)*100), 1)</f>
        <v>-12.6</v>
      </c>
      <c r="H20" s="359">
        <f t="shared" si="21"/>
        <v>320</v>
      </c>
      <c r="I20" s="366">
        <f t="shared" si="22"/>
        <v>1250</v>
      </c>
      <c r="J20" s="288">
        <f t="shared" ref="J20:J25" si="38">ROUND(((I20/H20-1)*100), 1)</f>
        <v>290.60000000000002</v>
      </c>
      <c r="K20" s="589">
        <v>1693</v>
      </c>
      <c r="L20" s="589">
        <v>2450</v>
      </c>
      <c r="M20" s="288">
        <f t="shared" ref="M20:M28" si="39">ROUND(((L20/K20-1)*100), 1)</f>
        <v>44.7</v>
      </c>
      <c r="N20" s="359">
        <f t="shared" si="25"/>
        <v>282</v>
      </c>
      <c r="O20" s="366">
        <f t="shared" si="26"/>
        <v>1344</v>
      </c>
      <c r="P20" s="288">
        <f t="shared" ref="P20:P29" si="40">ROUND(((O20/N20-1)*100), 1)</f>
        <v>376.6</v>
      </c>
      <c r="Q20" s="589">
        <v>1975</v>
      </c>
      <c r="R20" s="589">
        <v>3794</v>
      </c>
      <c r="S20" s="288">
        <f t="shared" ref="S20:S29" si="41">ROUND(((R20/Q20-1)*100), 1)</f>
        <v>92.1</v>
      </c>
      <c r="T20" s="468">
        <f t="shared" si="29"/>
        <v>959</v>
      </c>
      <c r="U20" s="366">
        <f t="shared" si="30"/>
        <v>2306</v>
      </c>
      <c r="V20" s="288">
        <f t="shared" ref="V20:V28" si="42">ROUND(((U20/T20-1)*100), 1)</f>
        <v>140.5</v>
      </c>
      <c r="W20" s="630">
        <v>2934</v>
      </c>
      <c r="X20" s="630">
        <v>6100</v>
      </c>
      <c r="Y20" s="288">
        <f t="shared" ref="Y20:Y30" si="43">ROUND(((X20/W20-1)*100), 1)</f>
        <v>107.9</v>
      </c>
      <c r="Z20" s="468">
        <f t="shared" si="33"/>
        <v>601</v>
      </c>
      <c r="AA20" s="366">
        <f t="shared" si="34"/>
        <v>929</v>
      </c>
      <c r="AB20" s="288">
        <f t="shared" ref="AB20:AB30" si="44">ROUND(((AA20/Z20-1)*100), 1)</f>
        <v>54.6</v>
      </c>
      <c r="AC20" s="589">
        <v>3535</v>
      </c>
      <c r="AD20" s="589">
        <v>7029</v>
      </c>
      <c r="AE20" s="288">
        <f t="shared" ref="AE20:AE30" si="45">ROUND(((AD20/AC20-1)*100), 1)</f>
        <v>98.8</v>
      </c>
    </row>
    <row r="21" spans="1:31">
      <c r="A21" s="209" t="s">
        <v>103</v>
      </c>
      <c r="B21" s="39" t="s">
        <v>142</v>
      </c>
      <c r="C21" s="40">
        <v>3498</v>
      </c>
      <c r="D21" s="608">
        <v>5613</v>
      </c>
      <c r="E21" s="630">
        <v>392</v>
      </c>
      <c r="F21" s="630">
        <v>771</v>
      </c>
      <c r="G21" s="289">
        <f t="shared" si="37"/>
        <v>96.7</v>
      </c>
      <c r="H21" s="359">
        <f t="shared" si="21"/>
        <v>252</v>
      </c>
      <c r="I21" s="366">
        <f t="shared" si="22"/>
        <v>574</v>
      </c>
      <c r="J21" s="289">
        <f t="shared" si="38"/>
        <v>127.8</v>
      </c>
      <c r="K21" s="589">
        <v>644</v>
      </c>
      <c r="L21" s="589">
        <v>1345</v>
      </c>
      <c r="M21" s="289">
        <f t="shared" si="39"/>
        <v>108.9</v>
      </c>
      <c r="N21" s="359">
        <f t="shared" si="25"/>
        <v>38</v>
      </c>
      <c r="O21" s="366">
        <f t="shared" si="26"/>
        <v>621</v>
      </c>
      <c r="P21" s="289">
        <f t="shared" si="40"/>
        <v>1534.2</v>
      </c>
      <c r="Q21" s="589">
        <v>682</v>
      </c>
      <c r="R21" s="589">
        <v>1966</v>
      </c>
      <c r="S21" s="289">
        <f t="shared" si="41"/>
        <v>188.3</v>
      </c>
      <c r="T21" s="468">
        <f t="shared" si="29"/>
        <v>78</v>
      </c>
      <c r="U21" s="366">
        <f t="shared" si="30"/>
        <v>271</v>
      </c>
      <c r="V21" s="289">
        <f t="shared" si="42"/>
        <v>247.4</v>
      </c>
      <c r="W21" s="630">
        <v>760</v>
      </c>
      <c r="X21" s="630">
        <v>2237</v>
      </c>
      <c r="Y21" s="289">
        <f t="shared" si="43"/>
        <v>194.3</v>
      </c>
      <c r="Z21" s="468">
        <f t="shared" si="33"/>
        <v>336</v>
      </c>
      <c r="AA21" s="366">
        <f t="shared" si="34"/>
        <v>956</v>
      </c>
      <c r="AB21" s="289">
        <f t="shared" si="44"/>
        <v>184.5</v>
      </c>
      <c r="AC21" s="589">
        <v>1096</v>
      </c>
      <c r="AD21" s="589">
        <v>3193</v>
      </c>
      <c r="AE21" s="289">
        <f t="shared" si="45"/>
        <v>191.3</v>
      </c>
    </row>
    <row r="22" spans="1:31">
      <c r="A22" s="209"/>
      <c r="B22" s="39" t="s">
        <v>289</v>
      </c>
      <c r="C22" s="40">
        <v>4758</v>
      </c>
      <c r="D22" s="608">
        <v>3773</v>
      </c>
      <c r="E22" s="630">
        <v>323</v>
      </c>
      <c r="F22" s="630">
        <v>500</v>
      </c>
      <c r="G22" s="274">
        <f t="shared" si="37"/>
        <v>54.8</v>
      </c>
      <c r="H22" s="359">
        <f t="shared" si="21"/>
        <v>363</v>
      </c>
      <c r="I22" s="366">
        <f t="shared" si="22"/>
        <v>157</v>
      </c>
      <c r="J22" s="289">
        <f t="shared" si="38"/>
        <v>-56.7</v>
      </c>
      <c r="K22" s="589">
        <v>686</v>
      </c>
      <c r="L22" s="589">
        <v>657</v>
      </c>
      <c r="M22" s="289">
        <f t="shared" si="39"/>
        <v>-4.2</v>
      </c>
      <c r="N22" s="359">
        <f t="shared" si="25"/>
        <v>310</v>
      </c>
      <c r="O22" s="366">
        <f t="shared" si="26"/>
        <v>441</v>
      </c>
      <c r="P22" s="289">
        <f t="shared" si="40"/>
        <v>42.3</v>
      </c>
      <c r="Q22" s="589">
        <v>996</v>
      </c>
      <c r="R22" s="589">
        <v>1098</v>
      </c>
      <c r="S22" s="289">
        <f t="shared" si="41"/>
        <v>10.199999999999999</v>
      </c>
      <c r="T22" s="468">
        <f t="shared" si="29"/>
        <v>475</v>
      </c>
      <c r="U22" s="366">
        <f t="shared" si="30"/>
        <v>727</v>
      </c>
      <c r="V22" s="289">
        <f t="shared" si="42"/>
        <v>53.1</v>
      </c>
      <c r="W22" s="630">
        <v>1471</v>
      </c>
      <c r="X22" s="630">
        <v>1825</v>
      </c>
      <c r="Y22" s="289">
        <f t="shared" si="43"/>
        <v>24.1</v>
      </c>
      <c r="Z22" s="468">
        <f t="shared" si="33"/>
        <v>333</v>
      </c>
      <c r="AA22" s="366">
        <f t="shared" si="34"/>
        <v>545</v>
      </c>
      <c r="AB22" s="289">
        <f t="shared" si="44"/>
        <v>63.7</v>
      </c>
      <c r="AC22" s="589">
        <v>1804</v>
      </c>
      <c r="AD22" s="589">
        <v>2370</v>
      </c>
      <c r="AE22" s="289">
        <f t="shared" si="45"/>
        <v>31.4</v>
      </c>
    </row>
    <row r="23" spans="1:31">
      <c r="A23" s="209"/>
      <c r="B23" s="39" t="s">
        <v>288</v>
      </c>
      <c r="C23" s="40">
        <v>7732</v>
      </c>
      <c r="D23" s="608">
        <v>3268</v>
      </c>
      <c r="E23" s="630">
        <v>307</v>
      </c>
      <c r="F23" s="630">
        <v>0</v>
      </c>
      <c r="G23" s="274">
        <f t="shared" si="37"/>
        <v>-100</v>
      </c>
      <c r="H23" s="359">
        <f t="shared" si="21"/>
        <v>1067</v>
      </c>
      <c r="I23" s="366">
        <f t="shared" si="22"/>
        <v>0</v>
      </c>
      <c r="J23" s="289">
        <f t="shared" si="38"/>
        <v>-100</v>
      </c>
      <c r="K23" s="589">
        <v>1374</v>
      </c>
      <c r="L23" s="589">
        <v>0</v>
      </c>
      <c r="M23" s="289">
        <f t="shared" si="39"/>
        <v>-100</v>
      </c>
      <c r="N23" s="359">
        <f t="shared" si="25"/>
        <v>884</v>
      </c>
      <c r="O23" s="366">
        <f t="shared" si="26"/>
        <v>0</v>
      </c>
      <c r="P23" s="581">
        <f t="shared" si="40"/>
        <v>-100</v>
      </c>
      <c r="Q23" s="589">
        <v>2258</v>
      </c>
      <c r="R23" s="589">
        <v>0</v>
      </c>
      <c r="S23" s="289">
        <f t="shared" si="41"/>
        <v>-100</v>
      </c>
      <c r="T23" s="468">
        <f t="shared" si="29"/>
        <v>294</v>
      </c>
      <c r="U23" s="366">
        <f t="shared" si="30"/>
        <v>0</v>
      </c>
      <c r="V23" s="289">
        <f t="shared" si="42"/>
        <v>-100</v>
      </c>
      <c r="W23" s="630">
        <v>2552</v>
      </c>
      <c r="X23" s="630">
        <v>0</v>
      </c>
      <c r="Y23" s="289">
        <f t="shared" si="43"/>
        <v>-100</v>
      </c>
      <c r="Z23" s="468">
        <f t="shared" si="33"/>
        <v>190</v>
      </c>
      <c r="AA23" s="366">
        <f t="shared" si="34"/>
        <v>0</v>
      </c>
      <c r="AB23" s="289">
        <f t="shared" si="44"/>
        <v>-100</v>
      </c>
      <c r="AC23" s="589">
        <v>2742</v>
      </c>
      <c r="AD23" s="589">
        <v>0</v>
      </c>
      <c r="AE23" s="289">
        <f t="shared" si="45"/>
        <v>-100</v>
      </c>
    </row>
    <row r="24" spans="1:31">
      <c r="A24" s="209"/>
      <c r="B24" s="39" t="s">
        <v>65</v>
      </c>
      <c r="C24" s="40">
        <v>3294</v>
      </c>
      <c r="D24" s="608">
        <v>2592</v>
      </c>
      <c r="E24" s="630">
        <v>279</v>
      </c>
      <c r="F24" s="630">
        <v>142</v>
      </c>
      <c r="G24" s="274">
        <f t="shared" si="37"/>
        <v>-49.1</v>
      </c>
      <c r="H24" s="359">
        <f t="shared" si="21"/>
        <v>181</v>
      </c>
      <c r="I24" s="366">
        <f t="shared" si="22"/>
        <v>216</v>
      </c>
      <c r="J24" s="289">
        <f t="shared" si="38"/>
        <v>19.3</v>
      </c>
      <c r="K24" s="589">
        <v>460</v>
      </c>
      <c r="L24" s="589">
        <v>358</v>
      </c>
      <c r="M24" s="289">
        <f t="shared" si="39"/>
        <v>-22.2</v>
      </c>
      <c r="N24" s="359">
        <f t="shared" si="25"/>
        <v>171</v>
      </c>
      <c r="O24" s="366">
        <f t="shared" si="26"/>
        <v>528</v>
      </c>
      <c r="P24" s="581">
        <f t="shared" si="40"/>
        <v>208.8</v>
      </c>
      <c r="Q24" s="589">
        <v>631</v>
      </c>
      <c r="R24" s="589">
        <v>886</v>
      </c>
      <c r="S24" s="289">
        <f t="shared" si="41"/>
        <v>40.4</v>
      </c>
      <c r="T24" s="468">
        <f t="shared" si="29"/>
        <v>268</v>
      </c>
      <c r="U24" s="366">
        <f t="shared" si="30"/>
        <v>443</v>
      </c>
      <c r="V24" s="289">
        <f t="shared" si="42"/>
        <v>65.3</v>
      </c>
      <c r="W24" s="630">
        <v>899</v>
      </c>
      <c r="X24" s="630">
        <v>1329</v>
      </c>
      <c r="Y24" s="289">
        <f t="shared" si="43"/>
        <v>47.8</v>
      </c>
      <c r="Z24" s="468">
        <f t="shared" si="33"/>
        <v>320</v>
      </c>
      <c r="AA24" s="366">
        <f t="shared" si="34"/>
        <v>599</v>
      </c>
      <c r="AB24" s="289">
        <f t="shared" si="44"/>
        <v>87.2</v>
      </c>
      <c r="AC24" s="589">
        <v>1219</v>
      </c>
      <c r="AD24" s="589">
        <v>1928</v>
      </c>
      <c r="AE24" s="289">
        <f t="shared" si="45"/>
        <v>58.2</v>
      </c>
    </row>
    <row r="25" spans="1:31">
      <c r="A25" s="209"/>
      <c r="B25" s="39" t="s">
        <v>47</v>
      </c>
      <c r="C25" s="40">
        <v>677</v>
      </c>
      <c r="D25" s="608">
        <v>999</v>
      </c>
      <c r="E25" s="630">
        <v>148</v>
      </c>
      <c r="F25" s="630">
        <v>0</v>
      </c>
      <c r="G25" s="274">
        <f t="shared" si="37"/>
        <v>-100</v>
      </c>
      <c r="H25" s="359">
        <f t="shared" si="21"/>
        <v>60</v>
      </c>
      <c r="I25" s="366">
        <f t="shared" si="22"/>
        <v>32</v>
      </c>
      <c r="J25" s="581">
        <f t="shared" si="38"/>
        <v>-46.7</v>
      </c>
      <c r="K25" s="589">
        <v>208</v>
      </c>
      <c r="L25" s="589">
        <v>32</v>
      </c>
      <c r="M25" s="289">
        <f t="shared" si="39"/>
        <v>-84.6</v>
      </c>
      <c r="N25" s="359">
        <f t="shared" si="25"/>
        <v>57</v>
      </c>
      <c r="O25" s="366">
        <f t="shared" si="26"/>
        <v>22</v>
      </c>
      <c r="P25" s="581">
        <f t="shared" si="40"/>
        <v>-61.4</v>
      </c>
      <c r="Q25" s="589">
        <v>265</v>
      </c>
      <c r="R25" s="589">
        <v>54</v>
      </c>
      <c r="S25" s="289">
        <f t="shared" si="41"/>
        <v>-79.599999999999994</v>
      </c>
      <c r="T25" s="468">
        <f t="shared" si="29"/>
        <v>92</v>
      </c>
      <c r="U25" s="366">
        <f t="shared" si="30"/>
        <v>23</v>
      </c>
      <c r="V25" s="289">
        <f t="shared" si="42"/>
        <v>-75</v>
      </c>
      <c r="W25" s="630">
        <v>357</v>
      </c>
      <c r="X25" s="630">
        <v>77</v>
      </c>
      <c r="Y25" s="289">
        <f t="shared" si="43"/>
        <v>-78.400000000000006</v>
      </c>
      <c r="Z25" s="468">
        <f t="shared" si="33"/>
        <v>60</v>
      </c>
      <c r="AA25" s="366">
        <f t="shared" si="34"/>
        <v>0</v>
      </c>
      <c r="AB25" s="289">
        <f t="shared" si="44"/>
        <v>-100</v>
      </c>
      <c r="AC25" s="589">
        <v>417</v>
      </c>
      <c r="AD25" s="589">
        <v>77</v>
      </c>
      <c r="AE25" s="289">
        <f t="shared" si="45"/>
        <v>-81.5</v>
      </c>
    </row>
    <row r="26" spans="1:31">
      <c r="A26" s="209"/>
      <c r="B26" s="39" t="s">
        <v>82</v>
      </c>
      <c r="C26" s="40">
        <v>826</v>
      </c>
      <c r="D26" s="608">
        <v>152</v>
      </c>
      <c r="E26" s="630">
        <v>46</v>
      </c>
      <c r="F26" s="630">
        <v>0</v>
      </c>
      <c r="G26" s="289">
        <f t="shared" si="37"/>
        <v>-100</v>
      </c>
      <c r="H26" s="359">
        <f t="shared" si="21"/>
        <v>0</v>
      </c>
      <c r="I26" s="366">
        <f t="shared" si="22"/>
        <v>0</v>
      </c>
      <c r="J26" s="583">
        <v>0</v>
      </c>
      <c r="K26" s="589">
        <v>46</v>
      </c>
      <c r="L26" s="589">
        <v>0</v>
      </c>
      <c r="M26" s="289">
        <f t="shared" si="39"/>
        <v>-100</v>
      </c>
      <c r="N26" s="359">
        <f t="shared" si="25"/>
        <v>20</v>
      </c>
      <c r="O26" s="366">
        <f t="shared" si="26"/>
        <v>44</v>
      </c>
      <c r="P26" s="581">
        <f t="shared" si="40"/>
        <v>120</v>
      </c>
      <c r="Q26" s="589">
        <v>66</v>
      </c>
      <c r="R26" s="589">
        <v>44</v>
      </c>
      <c r="S26" s="289">
        <f t="shared" si="41"/>
        <v>-33.299999999999997</v>
      </c>
      <c r="T26" s="468">
        <f t="shared" si="29"/>
        <v>6</v>
      </c>
      <c r="U26" s="366">
        <f t="shared" si="30"/>
        <v>16</v>
      </c>
      <c r="V26" s="289">
        <f t="shared" si="42"/>
        <v>166.7</v>
      </c>
      <c r="W26" s="630">
        <v>72</v>
      </c>
      <c r="X26" s="630">
        <v>60</v>
      </c>
      <c r="Y26" s="289">
        <f t="shared" si="43"/>
        <v>-16.7</v>
      </c>
      <c r="Z26" s="468">
        <f t="shared" si="33"/>
        <v>6</v>
      </c>
      <c r="AA26" s="366">
        <f t="shared" si="34"/>
        <v>50</v>
      </c>
      <c r="AB26" s="289">
        <f t="shared" si="44"/>
        <v>733.3</v>
      </c>
      <c r="AC26" s="589">
        <v>78</v>
      </c>
      <c r="AD26" s="589">
        <v>110</v>
      </c>
      <c r="AE26" s="289">
        <f t="shared" si="45"/>
        <v>41</v>
      </c>
    </row>
    <row r="27" spans="1:31">
      <c r="A27" s="209"/>
      <c r="B27" s="39" t="s">
        <v>64</v>
      </c>
      <c r="C27" s="40">
        <v>157</v>
      </c>
      <c r="D27" s="608">
        <v>143</v>
      </c>
      <c r="E27" s="630">
        <v>19</v>
      </c>
      <c r="F27" s="630">
        <v>0</v>
      </c>
      <c r="G27" s="581">
        <f t="shared" si="37"/>
        <v>-100</v>
      </c>
      <c r="H27" s="359">
        <f t="shared" si="21"/>
        <v>18</v>
      </c>
      <c r="I27" s="366">
        <f t="shared" si="22"/>
        <v>0</v>
      </c>
      <c r="J27" s="581">
        <f>ROUND(((I27/H27-1)*100), 1)</f>
        <v>-100</v>
      </c>
      <c r="K27" s="589">
        <v>37</v>
      </c>
      <c r="L27" s="589">
        <v>0</v>
      </c>
      <c r="M27" s="289">
        <f t="shared" si="39"/>
        <v>-100</v>
      </c>
      <c r="N27" s="359">
        <f t="shared" si="25"/>
        <v>12</v>
      </c>
      <c r="O27" s="366">
        <f t="shared" si="26"/>
        <v>32</v>
      </c>
      <c r="P27" s="581">
        <f t="shared" si="40"/>
        <v>166.7</v>
      </c>
      <c r="Q27" s="589">
        <v>49</v>
      </c>
      <c r="R27" s="589">
        <v>32</v>
      </c>
      <c r="S27" s="289">
        <f t="shared" si="41"/>
        <v>-34.700000000000003</v>
      </c>
      <c r="T27" s="468">
        <f t="shared" si="29"/>
        <v>1</v>
      </c>
      <c r="U27" s="366">
        <f t="shared" si="30"/>
        <v>12</v>
      </c>
      <c r="V27" s="289">
        <f t="shared" si="42"/>
        <v>1100</v>
      </c>
      <c r="W27" s="630">
        <v>50</v>
      </c>
      <c r="X27" s="630">
        <v>44</v>
      </c>
      <c r="Y27" s="289">
        <f t="shared" si="43"/>
        <v>-12</v>
      </c>
      <c r="Z27" s="468">
        <f t="shared" si="33"/>
        <v>48</v>
      </c>
      <c r="AA27" s="366">
        <f t="shared" si="34"/>
        <v>19</v>
      </c>
      <c r="AB27" s="581">
        <f t="shared" si="44"/>
        <v>-60.4</v>
      </c>
      <c r="AC27" s="589">
        <v>98</v>
      </c>
      <c r="AD27" s="589">
        <v>63</v>
      </c>
      <c r="AE27" s="289">
        <f t="shared" si="45"/>
        <v>-35.700000000000003</v>
      </c>
    </row>
    <row r="28" spans="1:31">
      <c r="A28" s="209"/>
      <c r="B28" s="39" t="s">
        <v>233</v>
      </c>
      <c r="C28" s="40">
        <v>65</v>
      </c>
      <c r="D28" s="608">
        <v>115</v>
      </c>
      <c r="E28" s="630">
        <v>10</v>
      </c>
      <c r="F28" s="630">
        <v>18</v>
      </c>
      <c r="G28" s="581">
        <f>ROUND(((F28/E28-1)*100), 1)</f>
        <v>80</v>
      </c>
      <c r="H28" s="359">
        <f t="shared" si="21"/>
        <v>6</v>
      </c>
      <c r="I28" s="366">
        <f t="shared" si="22"/>
        <v>7</v>
      </c>
      <c r="J28" s="289">
        <f>ROUND(((I28/H28-1)*100), 1)</f>
        <v>16.7</v>
      </c>
      <c r="K28" s="589">
        <v>16</v>
      </c>
      <c r="L28" s="589">
        <v>25</v>
      </c>
      <c r="M28" s="289">
        <f t="shared" si="39"/>
        <v>56.3</v>
      </c>
      <c r="N28" s="359">
        <f t="shared" si="25"/>
        <v>7</v>
      </c>
      <c r="O28" s="366">
        <f t="shared" si="26"/>
        <v>15</v>
      </c>
      <c r="P28" s="581">
        <f t="shared" si="40"/>
        <v>114.3</v>
      </c>
      <c r="Q28" s="589">
        <v>23</v>
      </c>
      <c r="R28" s="589">
        <v>40</v>
      </c>
      <c r="S28" s="289">
        <f t="shared" si="41"/>
        <v>73.900000000000006</v>
      </c>
      <c r="T28" s="468">
        <f t="shared" si="29"/>
        <v>5</v>
      </c>
      <c r="U28" s="366">
        <f t="shared" si="30"/>
        <v>11</v>
      </c>
      <c r="V28" s="581">
        <f t="shared" si="42"/>
        <v>120</v>
      </c>
      <c r="W28" s="630">
        <v>28</v>
      </c>
      <c r="X28" s="630">
        <v>51</v>
      </c>
      <c r="Y28" s="289">
        <f t="shared" si="43"/>
        <v>82.1</v>
      </c>
      <c r="Z28" s="468">
        <f t="shared" si="33"/>
        <v>22</v>
      </c>
      <c r="AA28" s="366">
        <f t="shared" si="34"/>
        <v>0</v>
      </c>
      <c r="AB28" s="289">
        <f t="shared" si="44"/>
        <v>-100</v>
      </c>
      <c r="AC28" s="589">
        <v>50</v>
      </c>
      <c r="AD28" s="589">
        <v>51</v>
      </c>
      <c r="AE28" s="289">
        <f t="shared" si="45"/>
        <v>2</v>
      </c>
    </row>
    <row r="29" spans="1:31">
      <c r="A29" s="209"/>
      <c r="B29" s="39" t="s">
        <v>43</v>
      </c>
      <c r="C29" s="40">
        <v>16</v>
      </c>
      <c r="D29" s="608">
        <v>60</v>
      </c>
      <c r="E29" s="630">
        <v>0</v>
      </c>
      <c r="F29" s="630">
        <v>1</v>
      </c>
      <c r="G29" s="583">
        <v>0</v>
      </c>
      <c r="H29" s="359">
        <f t="shared" si="21"/>
        <v>0</v>
      </c>
      <c r="I29" s="366">
        <f t="shared" si="22"/>
        <v>1</v>
      </c>
      <c r="J29" s="583">
        <v>0</v>
      </c>
      <c r="K29" s="589">
        <v>0</v>
      </c>
      <c r="L29" s="589">
        <v>2</v>
      </c>
      <c r="M29" s="583">
        <v>0</v>
      </c>
      <c r="N29" s="359">
        <f t="shared" si="25"/>
        <v>28</v>
      </c>
      <c r="O29" s="366">
        <f t="shared" si="26"/>
        <v>8</v>
      </c>
      <c r="P29" s="581">
        <f t="shared" si="40"/>
        <v>-71.400000000000006</v>
      </c>
      <c r="Q29" s="589">
        <v>28</v>
      </c>
      <c r="R29" s="589">
        <v>10</v>
      </c>
      <c r="S29" s="289">
        <f t="shared" si="41"/>
        <v>-64.3</v>
      </c>
      <c r="T29" s="468">
        <f t="shared" si="29"/>
        <v>0</v>
      </c>
      <c r="U29" s="366">
        <f t="shared" si="30"/>
        <v>1</v>
      </c>
      <c r="V29" s="467">
        <v>0</v>
      </c>
      <c r="W29" s="630">
        <v>28</v>
      </c>
      <c r="X29" s="630">
        <v>11</v>
      </c>
      <c r="Y29" s="289">
        <f t="shared" si="43"/>
        <v>-60.7</v>
      </c>
      <c r="Z29" s="468">
        <f t="shared" si="33"/>
        <v>3</v>
      </c>
      <c r="AA29" s="366">
        <f t="shared" si="34"/>
        <v>2</v>
      </c>
      <c r="AB29" s="581">
        <f t="shared" si="44"/>
        <v>-33.299999999999997</v>
      </c>
      <c r="AC29" s="589">
        <v>31</v>
      </c>
      <c r="AD29" s="589">
        <v>13</v>
      </c>
      <c r="AE29" s="289">
        <f t="shared" si="45"/>
        <v>-58.1</v>
      </c>
    </row>
    <row r="30" spans="1:31">
      <c r="A30" s="209"/>
      <c r="B30" s="39" t="s">
        <v>46</v>
      </c>
      <c r="C30" s="40">
        <v>23</v>
      </c>
      <c r="D30" s="608">
        <v>58</v>
      </c>
      <c r="E30" s="630">
        <v>0</v>
      </c>
      <c r="F30" s="630">
        <v>2</v>
      </c>
      <c r="G30" s="583">
        <v>0</v>
      </c>
      <c r="H30" s="359">
        <f t="shared" si="21"/>
        <v>0</v>
      </c>
      <c r="I30" s="366">
        <f t="shared" si="22"/>
        <v>2</v>
      </c>
      <c r="J30" s="583">
        <v>0</v>
      </c>
      <c r="K30" s="589">
        <v>0</v>
      </c>
      <c r="L30" s="589">
        <v>4</v>
      </c>
      <c r="M30" s="583">
        <v>0</v>
      </c>
      <c r="N30" s="359">
        <f t="shared" si="25"/>
        <v>0</v>
      </c>
      <c r="O30" s="366">
        <f t="shared" si="26"/>
        <v>19</v>
      </c>
      <c r="P30" s="583">
        <v>0</v>
      </c>
      <c r="Q30" s="589">
        <v>0</v>
      </c>
      <c r="R30" s="589">
        <v>23</v>
      </c>
      <c r="S30" s="583">
        <v>0</v>
      </c>
      <c r="T30" s="468">
        <f t="shared" si="29"/>
        <v>16</v>
      </c>
      <c r="U30" s="366">
        <f t="shared" si="30"/>
        <v>12</v>
      </c>
      <c r="V30" s="289">
        <f>ROUND(((U30/T30-1)*100), 1)</f>
        <v>-25</v>
      </c>
      <c r="W30" s="630">
        <v>16</v>
      </c>
      <c r="X30" s="630">
        <v>35</v>
      </c>
      <c r="Y30" s="289">
        <f t="shared" si="43"/>
        <v>118.8</v>
      </c>
      <c r="Z30" s="468">
        <f t="shared" si="33"/>
        <v>7</v>
      </c>
      <c r="AA30" s="366">
        <f t="shared" si="34"/>
        <v>9</v>
      </c>
      <c r="AB30" s="581">
        <f t="shared" si="44"/>
        <v>28.6</v>
      </c>
      <c r="AC30" s="589">
        <v>23</v>
      </c>
      <c r="AD30" s="589">
        <v>44</v>
      </c>
      <c r="AE30" s="289">
        <f t="shared" si="45"/>
        <v>91.3</v>
      </c>
    </row>
    <row r="31" spans="1:31">
      <c r="A31" s="213"/>
      <c r="B31" s="39" t="s">
        <v>79</v>
      </c>
      <c r="C31" s="40">
        <v>504</v>
      </c>
      <c r="D31" s="608">
        <v>0</v>
      </c>
      <c r="E31" s="630">
        <v>0</v>
      </c>
      <c r="F31" s="630">
        <v>0</v>
      </c>
      <c r="G31" s="583">
        <v>0</v>
      </c>
      <c r="H31" s="359">
        <f t="shared" si="21"/>
        <v>0</v>
      </c>
      <c r="I31" s="366">
        <f t="shared" si="22"/>
        <v>0</v>
      </c>
      <c r="J31" s="583">
        <v>0</v>
      </c>
      <c r="K31" s="589">
        <v>0</v>
      </c>
      <c r="L31" s="589">
        <v>0</v>
      </c>
      <c r="M31" s="583">
        <v>0</v>
      </c>
      <c r="N31" s="359">
        <f t="shared" si="25"/>
        <v>0</v>
      </c>
      <c r="O31" s="366">
        <f t="shared" si="26"/>
        <v>0</v>
      </c>
      <c r="P31" s="583">
        <v>0</v>
      </c>
      <c r="Q31" s="589">
        <v>0</v>
      </c>
      <c r="R31" s="589">
        <v>0</v>
      </c>
      <c r="S31" s="583">
        <v>0</v>
      </c>
      <c r="T31" s="468">
        <f t="shared" si="29"/>
        <v>0</v>
      </c>
      <c r="U31" s="366">
        <f t="shared" si="30"/>
        <v>0</v>
      </c>
      <c r="V31" s="583">
        <v>0</v>
      </c>
      <c r="W31" s="630">
        <v>0</v>
      </c>
      <c r="X31" s="630">
        <v>0</v>
      </c>
      <c r="Y31" s="583">
        <v>0</v>
      </c>
      <c r="Z31" s="468">
        <f t="shared" si="33"/>
        <v>0</v>
      </c>
      <c r="AA31" s="366">
        <f t="shared" si="34"/>
        <v>0</v>
      </c>
      <c r="AB31" s="467">
        <v>0</v>
      </c>
      <c r="AC31" s="589">
        <v>0</v>
      </c>
      <c r="AD31" s="589">
        <v>0</v>
      </c>
      <c r="AE31" s="583">
        <v>0</v>
      </c>
    </row>
    <row r="32" spans="1:31">
      <c r="A32" s="213"/>
      <c r="B32" s="39" t="s">
        <v>59</v>
      </c>
      <c r="C32" s="40">
        <v>0</v>
      </c>
      <c r="D32" s="608">
        <v>0</v>
      </c>
      <c r="E32" s="630">
        <v>0</v>
      </c>
      <c r="F32" s="630">
        <v>0</v>
      </c>
      <c r="G32" s="344">
        <v>0</v>
      </c>
      <c r="H32" s="359">
        <f t="shared" si="21"/>
        <v>0</v>
      </c>
      <c r="I32" s="366">
        <f t="shared" si="22"/>
        <v>0</v>
      </c>
      <c r="J32" s="344">
        <v>0</v>
      </c>
      <c r="K32" s="589">
        <v>0</v>
      </c>
      <c r="L32" s="589">
        <v>0</v>
      </c>
      <c r="M32" s="344">
        <v>0</v>
      </c>
      <c r="N32" s="359">
        <f t="shared" si="25"/>
        <v>0</v>
      </c>
      <c r="O32" s="366">
        <f t="shared" si="26"/>
        <v>0</v>
      </c>
      <c r="P32" s="344">
        <v>0</v>
      </c>
      <c r="Q32" s="589">
        <v>0</v>
      </c>
      <c r="R32" s="589">
        <v>0</v>
      </c>
      <c r="S32" s="344">
        <v>0</v>
      </c>
      <c r="T32" s="468">
        <f t="shared" si="29"/>
        <v>0</v>
      </c>
      <c r="U32" s="366">
        <f t="shared" si="30"/>
        <v>0</v>
      </c>
      <c r="V32" s="467">
        <v>0</v>
      </c>
      <c r="W32" s="630">
        <v>0</v>
      </c>
      <c r="X32" s="630">
        <v>0</v>
      </c>
      <c r="Y32" s="467">
        <v>0</v>
      </c>
      <c r="Z32" s="468">
        <f t="shared" si="33"/>
        <v>0</v>
      </c>
      <c r="AA32" s="366">
        <f t="shared" si="34"/>
        <v>0</v>
      </c>
      <c r="AB32" s="467">
        <v>0</v>
      </c>
      <c r="AC32" s="589">
        <v>0</v>
      </c>
      <c r="AD32" s="589">
        <v>0</v>
      </c>
      <c r="AE32" s="467">
        <v>0</v>
      </c>
    </row>
    <row r="33" spans="1:31">
      <c r="A33" s="209"/>
      <c r="B33" s="39" t="s">
        <v>67</v>
      </c>
      <c r="C33" s="40">
        <v>0</v>
      </c>
      <c r="D33" s="608">
        <v>0</v>
      </c>
      <c r="E33" s="630">
        <v>0</v>
      </c>
      <c r="F33" s="630">
        <v>0</v>
      </c>
      <c r="G33" s="344">
        <v>0</v>
      </c>
      <c r="H33" s="359">
        <f t="shared" si="21"/>
        <v>0</v>
      </c>
      <c r="I33" s="366">
        <f t="shared" si="22"/>
        <v>0</v>
      </c>
      <c r="J33" s="344">
        <v>0</v>
      </c>
      <c r="K33" s="589">
        <v>0</v>
      </c>
      <c r="L33" s="589">
        <v>0</v>
      </c>
      <c r="M33" s="344">
        <v>0</v>
      </c>
      <c r="N33" s="359">
        <f t="shared" si="25"/>
        <v>0</v>
      </c>
      <c r="O33" s="366">
        <f t="shared" si="26"/>
        <v>0</v>
      </c>
      <c r="P33" s="344">
        <v>0</v>
      </c>
      <c r="Q33" s="589">
        <v>0</v>
      </c>
      <c r="R33" s="589">
        <v>0</v>
      </c>
      <c r="S33" s="344">
        <v>0</v>
      </c>
      <c r="T33" s="468">
        <f t="shared" si="29"/>
        <v>0</v>
      </c>
      <c r="U33" s="366">
        <f t="shared" si="30"/>
        <v>0</v>
      </c>
      <c r="V33" s="467">
        <v>0</v>
      </c>
      <c r="W33" s="630">
        <v>0</v>
      </c>
      <c r="X33" s="630">
        <v>0</v>
      </c>
      <c r="Y33" s="467">
        <v>0</v>
      </c>
      <c r="Z33" s="468">
        <f t="shared" si="33"/>
        <v>0</v>
      </c>
      <c r="AA33" s="366">
        <f t="shared" si="34"/>
        <v>0</v>
      </c>
      <c r="AB33" s="467">
        <v>0</v>
      </c>
      <c r="AC33" s="589">
        <v>0</v>
      </c>
      <c r="AD33" s="589">
        <v>0</v>
      </c>
      <c r="AE33" s="467">
        <v>0</v>
      </c>
    </row>
    <row r="34" spans="1:31">
      <c r="A34" s="209"/>
      <c r="B34" s="39" t="s">
        <v>69</v>
      </c>
      <c r="C34" s="40">
        <v>0</v>
      </c>
      <c r="D34" s="608">
        <v>0</v>
      </c>
      <c r="E34" s="630">
        <v>0</v>
      </c>
      <c r="F34" s="630">
        <v>0</v>
      </c>
      <c r="G34" s="344">
        <v>0</v>
      </c>
      <c r="H34" s="359">
        <f t="shared" si="21"/>
        <v>0</v>
      </c>
      <c r="I34" s="366">
        <f t="shared" si="22"/>
        <v>0</v>
      </c>
      <c r="J34" s="344">
        <v>0</v>
      </c>
      <c r="K34" s="589">
        <v>0</v>
      </c>
      <c r="L34" s="589">
        <v>0</v>
      </c>
      <c r="M34" s="344">
        <v>0</v>
      </c>
      <c r="N34" s="359">
        <f t="shared" si="25"/>
        <v>0</v>
      </c>
      <c r="O34" s="366">
        <f t="shared" si="26"/>
        <v>0</v>
      </c>
      <c r="P34" s="344">
        <v>0</v>
      </c>
      <c r="Q34" s="589">
        <v>0</v>
      </c>
      <c r="R34" s="589">
        <v>0</v>
      </c>
      <c r="S34" s="344">
        <v>0</v>
      </c>
      <c r="T34" s="468">
        <f t="shared" si="29"/>
        <v>0</v>
      </c>
      <c r="U34" s="366">
        <f t="shared" si="30"/>
        <v>0</v>
      </c>
      <c r="V34" s="467">
        <v>0</v>
      </c>
      <c r="W34" s="630">
        <v>0</v>
      </c>
      <c r="X34" s="630">
        <v>0</v>
      </c>
      <c r="Y34" s="467">
        <v>0</v>
      </c>
      <c r="Z34" s="468">
        <f t="shared" si="33"/>
        <v>0</v>
      </c>
      <c r="AA34" s="366">
        <f t="shared" si="34"/>
        <v>0</v>
      </c>
      <c r="AB34" s="467">
        <v>0</v>
      </c>
      <c r="AC34" s="589">
        <v>0</v>
      </c>
      <c r="AD34" s="589">
        <v>0</v>
      </c>
      <c r="AE34" s="467">
        <v>0</v>
      </c>
    </row>
    <row r="35" spans="1:31">
      <c r="A35" s="209"/>
      <c r="B35" s="39" t="s">
        <v>18</v>
      </c>
      <c r="C35" s="40">
        <f>C36-SUM(C20:C34)</f>
        <v>68</v>
      </c>
      <c r="D35" s="608">
        <f>D36-SUM(D20:D34)</f>
        <v>73</v>
      </c>
      <c r="E35" s="630">
        <f t="shared" ref="E35" si="46">E36-SUM(E20:E34)</f>
        <v>0</v>
      </c>
      <c r="F35" s="630">
        <f t="shared" ref="F35" si="47">F36-SUM(F20:F34)</f>
        <v>0</v>
      </c>
      <c r="G35" s="580">
        <v>0</v>
      </c>
      <c r="H35" s="359">
        <f>H36-SUM(H20:H34)</f>
        <v>12</v>
      </c>
      <c r="I35" s="366">
        <f>I36-SUM(I20:I34)</f>
        <v>0</v>
      </c>
      <c r="J35" s="581">
        <f>ROUND(((I35/H35-1)*100), 1)</f>
        <v>-100</v>
      </c>
      <c r="K35" s="589">
        <f>K36-SUM(K20:K34)</f>
        <v>12</v>
      </c>
      <c r="L35" s="589">
        <f t="shared" ref="L35" si="48">L36-SUM(L20:L34)</f>
        <v>0</v>
      </c>
      <c r="M35" s="289">
        <f>ROUND(((L35/K35-1)*100), 1)</f>
        <v>-100</v>
      </c>
      <c r="N35" s="359">
        <f>N36-SUM(N20:N34)</f>
        <v>21</v>
      </c>
      <c r="O35" s="366">
        <f>O36-SUM(O20:O34)</f>
        <v>0</v>
      </c>
      <c r="P35" s="581">
        <f>ROUND(((O35/N35-1)*100), 1)</f>
        <v>-100</v>
      </c>
      <c r="Q35" s="589">
        <f>Q36-SUM(Q20:Q34)</f>
        <v>33</v>
      </c>
      <c r="R35" s="589">
        <f t="shared" ref="R35" si="49">R36-SUM(R20:R34)</f>
        <v>0</v>
      </c>
      <c r="S35" s="289">
        <f>ROUND(((R35/Q35-1)*100), 1)</f>
        <v>-100</v>
      </c>
      <c r="T35" s="468">
        <f>T36-SUM(T20:T34)</f>
        <v>0</v>
      </c>
      <c r="U35" s="366">
        <f>U36-SUM(U20:U34)</f>
        <v>0</v>
      </c>
      <c r="V35" s="580">
        <v>0</v>
      </c>
      <c r="W35" s="630">
        <f>W36-SUM(W20:W34)</f>
        <v>33</v>
      </c>
      <c r="X35" s="630">
        <f t="shared" ref="X35" si="50">X36-SUM(X20:X34)</f>
        <v>0</v>
      </c>
      <c r="Y35" s="289">
        <f>ROUND(((X35/W35-1)*100), 1)</f>
        <v>-100</v>
      </c>
      <c r="Z35" s="468">
        <f>Z36-SUM(Z20:Z34)</f>
        <v>19</v>
      </c>
      <c r="AA35" s="366">
        <f>AA36-SUM(AA20:AA34)</f>
        <v>20</v>
      </c>
      <c r="AB35" s="289">
        <f>ROUND(((AA35/Z35-1)*100), 1)</f>
        <v>5.3</v>
      </c>
      <c r="AC35" s="589">
        <f>AC36-SUM(AC20:AC34)</f>
        <v>52</v>
      </c>
      <c r="AD35" s="589">
        <f t="shared" ref="AD35" si="51">AD36-SUM(AD20:AD34)</f>
        <v>20</v>
      </c>
      <c r="AE35" s="289">
        <f>ROUND(((AD35/AC35-1)*100), 1)</f>
        <v>-61.5</v>
      </c>
    </row>
    <row r="36" spans="1:31">
      <c r="A36" s="208"/>
      <c r="B36" s="63" t="s">
        <v>101</v>
      </c>
      <c r="C36" s="42">
        <v>33849</v>
      </c>
      <c r="D36" s="609">
        <v>27340</v>
      </c>
      <c r="E36" s="632">
        <v>2897</v>
      </c>
      <c r="F36" s="632">
        <v>2634</v>
      </c>
      <c r="G36" s="275">
        <f>ROUND(((F36/E36-1)*100), 1)</f>
        <v>-9.1</v>
      </c>
      <c r="H36" s="376">
        <f>K36-E36</f>
        <v>2279</v>
      </c>
      <c r="I36" s="280">
        <f>L36-F36</f>
        <v>2239</v>
      </c>
      <c r="J36" s="290">
        <f>ROUND(((I36/H36-1)*100), 1)</f>
        <v>-1.8</v>
      </c>
      <c r="K36" s="582">
        <v>5176</v>
      </c>
      <c r="L36" s="582">
        <v>4873</v>
      </c>
      <c r="M36" s="290">
        <f>ROUND(((L36/K36-1)*100), 1)</f>
        <v>-5.9</v>
      </c>
      <c r="N36" s="376">
        <f>Q36-K36</f>
        <v>1830</v>
      </c>
      <c r="O36" s="280">
        <f>R36-L36</f>
        <v>3074</v>
      </c>
      <c r="P36" s="290">
        <f>ROUND(((O36/N36-1)*100), 1)</f>
        <v>68</v>
      </c>
      <c r="Q36" s="582">
        <v>7006</v>
      </c>
      <c r="R36" s="582">
        <v>7947</v>
      </c>
      <c r="S36" s="290">
        <f>ROUND(((R36/Q36-1)*100), 1)</f>
        <v>13.4</v>
      </c>
      <c r="T36" s="376">
        <f>W36-Q36</f>
        <v>2194</v>
      </c>
      <c r="U36" s="280">
        <f>X36-R36</f>
        <v>3822</v>
      </c>
      <c r="V36" s="290">
        <f>ROUND(((U36/T36-1)*100), 1)</f>
        <v>74.2</v>
      </c>
      <c r="W36" s="632">
        <v>9200</v>
      </c>
      <c r="X36" s="632">
        <v>11769</v>
      </c>
      <c r="Y36" s="290">
        <f>ROUND(((X36/W36-1)*100), 1)</f>
        <v>27.9</v>
      </c>
      <c r="Z36" s="376">
        <f>AC36-W36</f>
        <v>1945</v>
      </c>
      <c r="AA36" s="280">
        <f>AD36-X36</f>
        <v>3129</v>
      </c>
      <c r="AB36" s="290">
        <f>ROUND(((AA36/Z36-1)*100), 1)</f>
        <v>60.9</v>
      </c>
      <c r="AC36" s="582">
        <v>11145</v>
      </c>
      <c r="AD36" s="582">
        <v>14898</v>
      </c>
      <c r="AE36" s="290">
        <f>ROUND(((AD36/AC36-1)*100), 1)</f>
        <v>33.700000000000003</v>
      </c>
    </row>
  </sheetData>
  <sortState ref="B19:BX33">
    <sortCondition descending="1" ref="D19:D33"/>
  </sortState>
  <mergeCells count="12">
    <mergeCell ref="A3:B4"/>
    <mergeCell ref="E3:G3"/>
    <mergeCell ref="C3:C4"/>
    <mergeCell ref="N3:P3"/>
    <mergeCell ref="H3:J3"/>
    <mergeCell ref="W3:Y3"/>
    <mergeCell ref="D3:D4"/>
    <mergeCell ref="K3:M3"/>
    <mergeCell ref="Q3:S3"/>
    <mergeCell ref="T3:V3"/>
    <mergeCell ref="Z3:AB3"/>
    <mergeCell ref="AC3:AE3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25"/>
  <sheetViews>
    <sheetView zoomScaleNormal="100" workbookViewId="0">
      <pane xSplit="7" ySplit="4" topLeftCell="AC5" activePane="bottomRight" state="frozen"/>
      <selection pane="topRight" activeCell="H1" sqref="H1"/>
      <selection pane="bottomLeft" activeCell="A5" sqref="A5"/>
      <selection pane="bottomRight"/>
    </sheetView>
  </sheetViews>
  <sheetFormatPr defaultRowHeight="16.5"/>
  <cols>
    <col min="1" max="1" width="6" customWidth="1"/>
    <col min="2" max="2" width="19.125" customWidth="1"/>
    <col min="3" max="3" width="11" style="304" hidden="1" customWidth="1"/>
    <col min="4" max="5" width="11" style="216" hidden="1" customWidth="1"/>
    <col min="6" max="6" width="11" style="304" hidden="1" customWidth="1"/>
    <col min="7" max="7" width="11" style="595" customWidth="1"/>
    <col min="8" max="8" width="11" style="623" hidden="1" customWidth="1"/>
    <col min="9" max="9" width="11" style="595" hidden="1" customWidth="1"/>
    <col min="10" max="10" width="9" hidden="1" customWidth="1"/>
    <col min="11" max="12" width="11" style="304" hidden="1" customWidth="1"/>
    <col min="13" max="13" width="9" style="277" hidden="1" customWidth="1"/>
    <col min="14" max="15" width="11" style="595" hidden="1" customWidth="1"/>
    <col min="16" max="16" width="9" style="277" hidden="1" customWidth="1"/>
    <col min="17" max="18" width="11" style="304" hidden="1" customWidth="1"/>
    <col min="19" max="19" width="9" style="277" hidden="1" customWidth="1"/>
    <col min="20" max="21" width="11" style="595" hidden="1" customWidth="1"/>
    <col min="22" max="22" width="9" style="277" hidden="1" customWidth="1"/>
    <col min="23" max="24" width="11" style="304" hidden="1" customWidth="1"/>
    <col min="25" max="25" width="9" style="277" hidden="1" customWidth="1"/>
    <col min="26" max="27" width="11" style="623" hidden="1" customWidth="1"/>
    <col min="28" max="28" width="9" style="277" hidden="1" customWidth="1"/>
    <col min="29" max="30" width="11" style="304" customWidth="1"/>
    <col min="31" max="31" width="9" style="277" customWidth="1"/>
    <col min="32" max="33" width="11" style="595" customWidth="1"/>
    <col min="34" max="34" width="9" style="277" customWidth="1"/>
    <col min="35" max="35" width="9" style="605"/>
  </cols>
  <sheetData>
    <row r="1" spans="1:34">
      <c r="A1" s="214" t="s">
        <v>293</v>
      </c>
      <c r="C1" s="341"/>
      <c r="D1" s="215"/>
      <c r="G1" s="341" t="s">
        <v>310</v>
      </c>
      <c r="J1" s="277"/>
      <c r="K1" s="215"/>
      <c r="Q1" s="215"/>
      <c r="W1" s="215"/>
      <c r="AC1" s="215"/>
    </row>
    <row r="2" spans="1:34">
      <c r="J2" s="287" t="s">
        <v>87</v>
      </c>
      <c r="M2" s="287"/>
      <c r="P2" s="287" t="s">
        <v>87</v>
      </c>
      <c r="S2" s="287"/>
      <c r="V2" s="287" t="s">
        <v>87</v>
      </c>
      <c r="Y2" s="287"/>
      <c r="AB2" s="287" t="s">
        <v>87</v>
      </c>
      <c r="AE2" s="287"/>
      <c r="AH2" s="287" t="s">
        <v>87</v>
      </c>
    </row>
    <row r="3" spans="1:34">
      <c r="A3" s="733" t="s">
        <v>88</v>
      </c>
      <c r="B3" s="733"/>
      <c r="C3" s="758" t="s">
        <v>309</v>
      </c>
      <c r="D3" s="758" t="s">
        <v>3</v>
      </c>
      <c r="E3" s="758" t="s">
        <v>76</v>
      </c>
      <c r="F3" s="856" t="s">
        <v>294</v>
      </c>
      <c r="G3" s="856" t="s">
        <v>431</v>
      </c>
      <c r="H3" s="767" t="s">
        <v>33</v>
      </c>
      <c r="I3" s="733"/>
      <c r="J3" s="865"/>
      <c r="K3" s="837" t="s">
        <v>471</v>
      </c>
      <c r="L3" s="838"/>
      <c r="M3" s="839"/>
      <c r="N3" s="837" t="s">
        <v>472</v>
      </c>
      <c r="O3" s="838"/>
      <c r="P3" s="839"/>
      <c r="Q3" s="837" t="s">
        <v>477</v>
      </c>
      <c r="R3" s="838"/>
      <c r="S3" s="839"/>
      <c r="T3" s="837" t="s">
        <v>478</v>
      </c>
      <c r="U3" s="838"/>
      <c r="V3" s="839"/>
      <c r="W3" s="837" t="s">
        <v>484</v>
      </c>
      <c r="X3" s="838"/>
      <c r="Y3" s="839"/>
      <c r="Z3" s="837" t="s">
        <v>486</v>
      </c>
      <c r="AA3" s="838"/>
      <c r="AB3" s="839"/>
      <c r="AC3" s="837" t="s">
        <v>497</v>
      </c>
      <c r="AD3" s="838"/>
      <c r="AE3" s="839"/>
      <c r="AF3" s="837" t="s">
        <v>498</v>
      </c>
      <c r="AG3" s="838"/>
      <c r="AH3" s="839"/>
    </row>
    <row r="4" spans="1:34">
      <c r="A4" s="733"/>
      <c r="B4" s="733"/>
      <c r="C4" s="866"/>
      <c r="D4" s="866"/>
      <c r="E4" s="866"/>
      <c r="F4" s="857"/>
      <c r="G4" s="857"/>
      <c r="H4" s="650" t="s">
        <v>567</v>
      </c>
      <c r="I4" s="586" t="s">
        <v>621</v>
      </c>
      <c r="J4" s="291" t="s">
        <v>5</v>
      </c>
      <c r="K4" s="650" t="s">
        <v>420</v>
      </c>
      <c r="L4" s="586" t="s">
        <v>621</v>
      </c>
      <c r="M4" s="291" t="s">
        <v>5</v>
      </c>
      <c r="N4" s="650" t="s">
        <v>420</v>
      </c>
      <c r="O4" s="586" t="s">
        <v>621</v>
      </c>
      <c r="P4" s="291" t="s">
        <v>5</v>
      </c>
      <c r="Q4" s="650" t="s">
        <v>420</v>
      </c>
      <c r="R4" s="586" t="s">
        <v>621</v>
      </c>
      <c r="S4" s="291" t="s">
        <v>5</v>
      </c>
      <c r="T4" s="650" t="s">
        <v>420</v>
      </c>
      <c r="U4" s="586" t="s">
        <v>621</v>
      </c>
      <c r="V4" s="291" t="s">
        <v>5</v>
      </c>
      <c r="W4" s="650" t="s">
        <v>420</v>
      </c>
      <c r="X4" s="586" t="s">
        <v>621</v>
      </c>
      <c r="Y4" s="291" t="s">
        <v>5</v>
      </c>
      <c r="Z4" s="650" t="s">
        <v>420</v>
      </c>
      <c r="AA4" s="586" t="s">
        <v>621</v>
      </c>
      <c r="AB4" s="291" t="s">
        <v>5</v>
      </c>
      <c r="AC4" s="650" t="s">
        <v>420</v>
      </c>
      <c r="AD4" s="586" t="s">
        <v>621</v>
      </c>
      <c r="AE4" s="291" t="s">
        <v>5</v>
      </c>
      <c r="AF4" s="650" t="s">
        <v>420</v>
      </c>
      <c r="AG4" s="586" t="s">
        <v>621</v>
      </c>
      <c r="AH4" s="291" t="s">
        <v>5</v>
      </c>
    </row>
    <row r="5" spans="1:34">
      <c r="A5" s="211"/>
      <c r="B5" s="81" t="s">
        <v>46</v>
      </c>
      <c r="C5" s="62">
        <v>230</v>
      </c>
      <c r="D5" s="62">
        <v>103</v>
      </c>
      <c r="E5" s="62">
        <v>100</v>
      </c>
      <c r="F5" s="62">
        <v>708</v>
      </c>
      <c r="G5" s="62">
        <v>1333</v>
      </c>
      <c r="H5" s="634">
        <v>37</v>
      </c>
      <c r="I5" s="584">
        <v>59</v>
      </c>
      <c r="J5" s="581">
        <f>ROUND(((I5/H5-1)*100), 1)</f>
        <v>59.5</v>
      </c>
      <c r="K5" s="360">
        <f t="shared" ref="K5:K14" si="0">N5-H5</f>
        <v>92</v>
      </c>
      <c r="L5" s="365">
        <f t="shared" ref="L5:L14" si="1">O5-I5</f>
        <v>198</v>
      </c>
      <c r="M5" s="581">
        <f t="shared" ref="M5:M6" si="2">ROUND(((L5/K5-1)*100), 1)</f>
        <v>115.2</v>
      </c>
      <c r="N5" s="584">
        <v>129</v>
      </c>
      <c r="O5" s="584">
        <v>257</v>
      </c>
      <c r="P5" s="581">
        <f>ROUND(((O5/N5-1)*100), 1)</f>
        <v>99.2</v>
      </c>
      <c r="Q5" s="360">
        <f t="shared" ref="Q5:Q14" si="3">T5-N5</f>
        <v>38</v>
      </c>
      <c r="R5" s="365">
        <f t="shared" ref="R5:R14" si="4">U5-O5</f>
        <v>99</v>
      </c>
      <c r="S5" s="581">
        <f>ROUND(((R5/Q5-1)*100), 1)</f>
        <v>160.5</v>
      </c>
      <c r="T5" s="584">
        <v>167</v>
      </c>
      <c r="U5" s="584">
        <v>356</v>
      </c>
      <c r="V5" s="581">
        <f>ROUND(((U5/T5-1)*100), 1)</f>
        <v>113.2</v>
      </c>
      <c r="W5" s="469">
        <f t="shared" ref="W5:W14" si="5">Z5-T5</f>
        <v>76</v>
      </c>
      <c r="X5" s="365">
        <f t="shared" ref="X5:X14" si="6">AA5-U5</f>
        <v>152</v>
      </c>
      <c r="Y5" s="581">
        <f>ROUND(((X5/W5-1)*100), 1)</f>
        <v>100</v>
      </c>
      <c r="Z5" s="634">
        <v>243</v>
      </c>
      <c r="AA5" s="634">
        <v>508</v>
      </c>
      <c r="AB5" s="581">
        <f>ROUND(((AA5/Z5-1)*100), 1)</f>
        <v>109.1</v>
      </c>
      <c r="AC5" s="469">
        <f t="shared" ref="AC5:AC14" si="7">AF5-Z5</f>
        <v>97</v>
      </c>
      <c r="AD5" s="365">
        <f t="shared" ref="AD5:AD14" si="8">AG5-AA5</f>
        <v>90</v>
      </c>
      <c r="AE5" s="581">
        <f>ROUND(((AD5/AC5-1)*100), 1)</f>
        <v>-7.2</v>
      </c>
      <c r="AF5" s="584">
        <v>340</v>
      </c>
      <c r="AG5" s="584">
        <v>598</v>
      </c>
      <c r="AH5" s="581">
        <f t="shared" ref="AH5:AH6" si="9">ROUND(((AG5/AF5-1)*100), 1)</f>
        <v>75.900000000000006</v>
      </c>
    </row>
    <row r="6" spans="1:34">
      <c r="A6" s="213" t="s">
        <v>114</v>
      </c>
      <c r="B6" s="611" t="s">
        <v>67</v>
      </c>
      <c r="C6" s="608">
        <v>1046</v>
      </c>
      <c r="D6" s="608">
        <v>869</v>
      </c>
      <c r="E6" s="608">
        <v>713</v>
      </c>
      <c r="F6" s="608">
        <v>822</v>
      </c>
      <c r="G6" s="608">
        <v>1319</v>
      </c>
      <c r="H6" s="630">
        <v>196</v>
      </c>
      <c r="I6" s="589">
        <v>0</v>
      </c>
      <c r="J6" s="581">
        <f>ROUND(((I6/H6-1)*100), 1)</f>
        <v>-100</v>
      </c>
      <c r="K6" s="589">
        <f t="shared" si="0"/>
        <v>119</v>
      </c>
      <c r="L6" s="589">
        <f t="shared" si="1"/>
        <v>64</v>
      </c>
      <c r="M6" s="581">
        <f t="shared" si="2"/>
        <v>-46.2</v>
      </c>
      <c r="N6" s="589">
        <v>315</v>
      </c>
      <c r="O6" s="589">
        <v>64</v>
      </c>
      <c r="P6" s="581">
        <f>ROUND(((O6/N6-1)*100), 1)</f>
        <v>-79.7</v>
      </c>
      <c r="Q6" s="589">
        <f t="shared" si="3"/>
        <v>422</v>
      </c>
      <c r="R6" s="589">
        <f t="shared" si="4"/>
        <v>0</v>
      </c>
      <c r="S6" s="581">
        <f>ROUND(((R6/Q6-1)*100), 1)</f>
        <v>-100</v>
      </c>
      <c r="T6" s="589">
        <v>737</v>
      </c>
      <c r="U6" s="589">
        <v>64</v>
      </c>
      <c r="V6" s="581">
        <f>ROUND(((U6/T6-1)*100), 1)</f>
        <v>-91.3</v>
      </c>
      <c r="W6" s="589">
        <f t="shared" si="5"/>
        <v>148</v>
      </c>
      <c r="X6" s="589">
        <f t="shared" si="6"/>
        <v>65</v>
      </c>
      <c r="Y6" s="581">
        <f>ROUND(((X6/W6-1)*100), 1)</f>
        <v>-56.1</v>
      </c>
      <c r="Z6" s="630">
        <v>885</v>
      </c>
      <c r="AA6" s="630">
        <v>129</v>
      </c>
      <c r="AB6" s="583">
        <v>0</v>
      </c>
      <c r="AC6" s="589">
        <f t="shared" si="7"/>
        <v>80</v>
      </c>
      <c r="AD6" s="589">
        <f t="shared" si="8"/>
        <v>0</v>
      </c>
      <c r="AE6" s="581">
        <f>ROUND(((AD6/AC6-1)*100), 1)</f>
        <v>-100</v>
      </c>
      <c r="AF6" s="589">
        <v>965</v>
      </c>
      <c r="AG6" s="589">
        <v>129</v>
      </c>
      <c r="AH6" s="581">
        <f t="shared" si="9"/>
        <v>-86.6</v>
      </c>
    </row>
    <row r="7" spans="1:34">
      <c r="A7" s="213"/>
      <c r="B7" s="39" t="s">
        <v>50</v>
      </c>
      <c r="C7" s="40">
        <v>96</v>
      </c>
      <c r="D7" s="40">
        <v>344</v>
      </c>
      <c r="E7" s="40">
        <v>126</v>
      </c>
      <c r="F7" s="40">
        <v>86</v>
      </c>
      <c r="G7" s="608">
        <v>98</v>
      </c>
      <c r="H7" s="630">
        <v>0</v>
      </c>
      <c r="I7" s="589">
        <v>0</v>
      </c>
      <c r="J7" s="583">
        <v>0</v>
      </c>
      <c r="K7" s="359">
        <f t="shared" si="0"/>
        <v>0</v>
      </c>
      <c r="L7" s="366">
        <f t="shared" si="1"/>
        <v>0</v>
      </c>
      <c r="M7" s="583">
        <v>0</v>
      </c>
      <c r="N7" s="589">
        <v>0</v>
      </c>
      <c r="O7" s="589">
        <v>0</v>
      </c>
      <c r="P7" s="583">
        <v>0</v>
      </c>
      <c r="Q7" s="359">
        <f t="shared" si="3"/>
        <v>19</v>
      </c>
      <c r="R7" s="366">
        <f t="shared" si="4"/>
        <v>0</v>
      </c>
      <c r="S7" s="289">
        <f>ROUND(((R7/Q7-1)*100), 1)</f>
        <v>-100</v>
      </c>
      <c r="T7" s="589">
        <v>19</v>
      </c>
      <c r="U7" s="589">
        <v>0</v>
      </c>
      <c r="V7" s="289">
        <f>ROUND(((U7/T7-1)*100), 1)</f>
        <v>-100</v>
      </c>
      <c r="W7" s="468">
        <f t="shared" si="5"/>
        <v>0</v>
      </c>
      <c r="X7" s="366">
        <f t="shared" si="6"/>
        <v>0</v>
      </c>
      <c r="Y7" s="583">
        <v>0</v>
      </c>
      <c r="Z7" s="630">
        <v>19</v>
      </c>
      <c r="AA7" s="630">
        <v>0</v>
      </c>
      <c r="AB7" s="581">
        <f>ROUND(((AA7/Z7-1)*100), 1)</f>
        <v>-100</v>
      </c>
      <c r="AC7" s="468">
        <f t="shared" si="7"/>
        <v>0</v>
      </c>
      <c r="AD7" s="366">
        <f t="shared" si="8"/>
        <v>46</v>
      </c>
      <c r="AE7" s="583">
        <v>0</v>
      </c>
      <c r="AF7" s="589">
        <v>19</v>
      </c>
      <c r="AG7" s="589">
        <v>46</v>
      </c>
      <c r="AH7" s="289">
        <f>ROUND(((AG7/AF7-1)*100), 1)</f>
        <v>142.1</v>
      </c>
    </row>
    <row r="8" spans="1:34">
      <c r="A8" s="213"/>
      <c r="B8" s="39" t="s">
        <v>44</v>
      </c>
      <c r="C8" s="40">
        <v>191</v>
      </c>
      <c r="D8" s="40">
        <v>459</v>
      </c>
      <c r="E8" s="40">
        <v>912</v>
      </c>
      <c r="F8" s="40">
        <v>408</v>
      </c>
      <c r="G8" s="608">
        <v>73</v>
      </c>
      <c r="H8" s="630">
        <v>1</v>
      </c>
      <c r="I8" s="589">
        <v>0</v>
      </c>
      <c r="J8" s="289">
        <f>ROUND(((I8/H8-1)*100), 1)</f>
        <v>-100</v>
      </c>
      <c r="K8" s="359">
        <f t="shared" si="0"/>
        <v>0</v>
      </c>
      <c r="L8" s="366">
        <f t="shared" si="1"/>
        <v>1</v>
      </c>
      <c r="M8" s="583">
        <v>0</v>
      </c>
      <c r="N8" s="589">
        <v>1</v>
      </c>
      <c r="O8" s="589">
        <v>1</v>
      </c>
      <c r="P8" s="289">
        <f>ROUND(((O8/N8-1)*100), 1)</f>
        <v>0</v>
      </c>
      <c r="Q8" s="359">
        <f t="shared" si="3"/>
        <v>1</v>
      </c>
      <c r="R8" s="366">
        <f t="shared" si="4"/>
        <v>2</v>
      </c>
      <c r="S8" s="289">
        <f>ROUND(((R8/Q8-1)*100), 1)</f>
        <v>100</v>
      </c>
      <c r="T8" s="589">
        <v>2</v>
      </c>
      <c r="U8" s="589">
        <v>3</v>
      </c>
      <c r="V8" s="289">
        <f>ROUND(((U8/T8-1)*100), 1)</f>
        <v>50</v>
      </c>
      <c r="W8" s="468">
        <f t="shared" si="5"/>
        <v>21</v>
      </c>
      <c r="X8" s="366">
        <f t="shared" si="6"/>
        <v>2</v>
      </c>
      <c r="Y8" s="289">
        <f>ROUND(((X8/W8-1)*100), 1)</f>
        <v>-90.5</v>
      </c>
      <c r="Z8" s="630">
        <v>23</v>
      </c>
      <c r="AA8" s="630">
        <v>5</v>
      </c>
      <c r="AB8" s="289">
        <f>ROUND(((AA8/Z8-1)*100), 1)</f>
        <v>-78.3</v>
      </c>
      <c r="AC8" s="468">
        <f t="shared" si="7"/>
        <v>5</v>
      </c>
      <c r="AD8" s="366">
        <f t="shared" si="8"/>
        <v>0</v>
      </c>
      <c r="AE8" s="581">
        <f>ROUND(((AD8/AC8-1)*100), 1)</f>
        <v>-100</v>
      </c>
      <c r="AF8" s="589">
        <v>28</v>
      </c>
      <c r="AG8" s="589">
        <v>5</v>
      </c>
      <c r="AH8" s="581">
        <f t="shared" ref="AH8:AH10" si="10">ROUND(((AG8/AF8-1)*100), 1)</f>
        <v>-82.1</v>
      </c>
    </row>
    <row r="9" spans="1:34">
      <c r="A9" s="213"/>
      <c r="B9" s="39" t="s">
        <v>62</v>
      </c>
      <c r="C9" s="40">
        <v>312</v>
      </c>
      <c r="D9" s="40">
        <v>193</v>
      </c>
      <c r="E9" s="40">
        <v>68</v>
      </c>
      <c r="F9" s="40">
        <v>0</v>
      </c>
      <c r="G9" s="608">
        <v>20</v>
      </c>
      <c r="H9" s="630">
        <v>0</v>
      </c>
      <c r="I9" s="589">
        <v>0</v>
      </c>
      <c r="J9" s="344">
        <v>0</v>
      </c>
      <c r="K9" s="366">
        <f t="shared" si="0"/>
        <v>20</v>
      </c>
      <c r="L9" s="366">
        <f t="shared" si="1"/>
        <v>0</v>
      </c>
      <c r="M9" s="581">
        <f>ROUND(((L9/K9-1)*100), 1)</f>
        <v>-100</v>
      </c>
      <c r="N9" s="589">
        <v>20</v>
      </c>
      <c r="O9" s="589">
        <v>0</v>
      </c>
      <c r="P9" s="581">
        <f>ROUND(((O9/N9-1)*100), 1)</f>
        <v>-100</v>
      </c>
      <c r="Q9" s="366">
        <f t="shared" si="3"/>
        <v>0</v>
      </c>
      <c r="R9" s="366">
        <f t="shared" si="4"/>
        <v>20</v>
      </c>
      <c r="S9" s="583">
        <v>0</v>
      </c>
      <c r="T9" s="589">
        <v>20</v>
      </c>
      <c r="U9" s="589">
        <v>20</v>
      </c>
      <c r="V9" s="581">
        <f>ROUND(((U9/T9-1)*100), 1)</f>
        <v>0</v>
      </c>
      <c r="W9" s="366">
        <f t="shared" si="5"/>
        <v>0</v>
      </c>
      <c r="X9" s="366">
        <f t="shared" si="6"/>
        <v>41</v>
      </c>
      <c r="Y9" s="467">
        <v>0</v>
      </c>
      <c r="Z9" s="630">
        <v>20</v>
      </c>
      <c r="AA9" s="630">
        <v>61</v>
      </c>
      <c r="AB9" s="583">
        <v>0</v>
      </c>
      <c r="AC9" s="366">
        <f t="shared" si="7"/>
        <v>0</v>
      </c>
      <c r="AD9" s="366">
        <f t="shared" si="8"/>
        <v>0</v>
      </c>
      <c r="AE9" s="467">
        <v>0</v>
      </c>
      <c r="AF9" s="589">
        <v>20</v>
      </c>
      <c r="AG9" s="589">
        <v>61</v>
      </c>
      <c r="AH9" s="581">
        <f t="shared" si="10"/>
        <v>205</v>
      </c>
    </row>
    <row r="10" spans="1:34">
      <c r="A10" s="213"/>
      <c r="B10" s="39" t="s">
        <v>43</v>
      </c>
      <c r="C10" s="40">
        <v>53</v>
      </c>
      <c r="D10" s="40">
        <v>4</v>
      </c>
      <c r="E10" s="40">
        <v>0</v>
      </c>
      <c r="F10" s="40">
        <v>0</v>
      </c>
      <c r="G10" s="608">
        <v>6</v>
      </c>
      <c r="H10" s="630">
        <v>0</v>
      </c>
      <c r="I10" s="589">
        <v>0</v>
      </c>
      <c r="J10" s="344">
        <v>0</v>
      </c>
      <c r="K10" s="366">
        <f t="shared" si="0"/>
        <v>0</v>
      </c>
      <c r="L10" s="366">
        <f t="shared" si="1"/>
        <v>0</v>
      </c>
      <c r="M10" s="344">
        <v>0</v>
      </c>
      <c r="N10" s="589">
        <v>0</v>
      </c>
      <c r="O10" s="589">
        <v>0</v>
      </c>
      <c r="P10" s="344">
        <v>0</v>
      </c>
      <c r="Q10" s="366">
        <f t="shared" si="3"/>
        <v>0</v>
      </c>
      <c r="R10" s="366">
        <f t="shared" si="4"/>
        <v>0</v>
      </c>
      <c r="S10" s="344">
        <v>0</v>
      </c>
      <c r="T10" s="589">
        <v>0</v>
      </c>
      <c r="U10" s="589">
        <v>0</v>
      </c>
      <c r="V10" s="344">
        <v>0</v>
      </c>
      <c r="W10" s="366">
        <f t="shared" si="5"/>
        <v>6</v>
      </c>
      <c r="X10" s="366">
        <f t="shared" si="6"/>
        <v>0</v>
      </c>
      <c r="Y10" s="581">
        <f>ROUND(((X10/W10-1)*100), 1)</f>
        <v>-100</v>
      </c>
      <c r="Z10" s="630">
        <v>6</v>
      </c>
      <c r="AA10" s="630">
        <v>0</v>
      </c>
      <c r="AB10" s="467">
        <v>0</v>
      </c>
      <c r="AC10" s="366">
        <f t="shared" si="7"/>
        <v>0</v>
      </c>
      <c r="AD10" s="366">
        <f t="shared" si="8"/>
        <v>0</v>
      </c>
      <c r="AE10" s="467">
        <v>0</v>
      </c>
      <c r="AF10" s="589">
        <v>6</v>
      </c>
      <c r="AG10" s="589">
        <v>0</v>
      </c>
      <c r="AH10" s="581">
        <f t="shared" si="10"/>
        <v>-100</v>
      </c>
    </row>
    <row r="11" spans="1:34">
      <c r="A11" s="213"/>
      <c r="B11" s="39" t="s">
        <v>45</v>
      </c>
      <c r="C11" s="40">
        <v>28</v>
      </c>
      <c r="D11" s="40">
        <v>9</v>
      </c>
      <c r="E11" s="40">
        <v>6</v>
      </c>
      <c r="F11" s="40">
        <v>1</v>
      </c>
      <c r="G11" s="608">
        <v>1</v>
      </c>
      <c r="H11" s="630">
        <v>0</v>
      </c>
      <c r="I11" s="589">
        <v>0</v>
      </c>
      <c r="J11" s="344">
        <v>0</v>
      </c>
      <c r="K11" s="366">
        <f t="shared" si="0"/>
        <v>0</v>
      </c>
      <c r="L11" s="366">
        <f t="shared" si="1"/>
        <v>0</v>
      </c>
      <c r="M11" s="344">
        <v>0</v>
      </c>
      <c r="N11" s="589">
        <v>0</v>
      </c>
      <c r="O11" s="589">
        <v>0</v>
      </c>
      <c r="P11" s="344">
        <v>0</v>
      </c>
      <c r="Q11" s="366">
        <f t="shared" si="3"/>
        <v>0</v>
      </c>
      <c r="R11" s="366">
        <f t="shared" si="4"/>
        <v>0</v>
      </c>
      <c r="S11" s="583">
        <v>0</v>
      </c>
      <c r="T11" s="589">
        <v>0</v>
      </c>
      <c r="U11" s="589">
        <v>0</v>
      </c>
      <c r="V11" s="583">
        <v>0</v>
      </c>
      <c r="W11" s="366">
        <f t="shared" si="5"/>
        <v>0</v>
      </c>
      <c r="X11" s="366">
        <f t="shared" si="6"/>
        <v>1</v>
      </c>
      <c r="Y11" s="467">
        <v>0</v>
      </c>
      <c r="Z11" s="630">
        <v>0</v>
      </c>
      <c r="AA11" s="630">
        <v>1</v>
      </c>
      <c r="AB11" s="583">
        <v>0</v>
      </c>
      <c r="AC11" s="366">
        <f t="shared" si="7"/>
        <v>0</v>
      </c>
      <c r="AD11" s="366">
        <f t="shared" si="8"/>
        <v>0</v>
      </c>
      <c r="AE11" s="467">
        <v>0</v>
      </c>
      <c r="AF11" s="589">
        <v>0</v>
      </c>
      <c r="AG11" s="589">
        <v>1</v>
      </c>
      <c r="AH11" s="583">
        <v>0</v>
      </c>
    </row>
    <row r="12" spans="1:34">
      <c r="A12" s="213"/>
      <c r="B12" s="39" t="s">
        <v>47</v>
      </c>
      <c r="C12" s="40">
        <v>94</v>
      </c>
      <c r="D12" s="40">
        <v>224</v>
      </c>
      <c r="E12" s="40">
        <v>19</v>
      </c>
      <c r="F12" s="40">
        <v>0</v>
      </c>
      <c r="G12" s="608">
        <v>0</v>
      </c>
      <c r="H12" s="630">
        <v>0</v>
      </c>
      <c r="I12" s="589">
        <v>0</v>
      </c>
      <c r="J12" s="344">
        <v>0</v>
      </c>
      <c r="K12" s="366">
        <f t="shared" si="0"/>
        <v>0</v>
      </c>
      <c r="L12" s="366">
        <f t="shared" si="1"/>
        <v>0</v>
      </c>
      <c r="M12" s="344">
        <v>0</v>
      </c>
      <c r="N12" s="589">
        <v>0</v>
      </c>
      <c r="O12" s="589">
        <v>0</v>
      </c>
      <c r="P12" s="344">
        <v>0</v>
      </c>
      <c r="Q12" s="366">
        <f t="shared" si="3"/>
        <v>0</v>
      </c>
      <c r="R12" s="366">
        <f t="shared" si="4"/>
        <v>0</v>
      </c>
      <c r="S12" s="344">
        <v>0</v>
      </c>
      <c r="T12" s="589">
        <v>0</v>
      </c>
      <c r="U12" s="589">
        <v>0</v>
      </c>
      <c r="V12" s="344">
        <v>0</v>
      </c>
      <c r="W12" s="366">
        <f t="shared" si="5"/>
        <v>0</v>
      </c>
      <c r="X12" s="366">
        <f t="shared" si="6"/>
        <v>0</v>
      </c>
      <c r="Y12" s="467">
        <v>0</v>
      </c>
      <c r="Z12" s="630">
        <v>0</v>
      </c>
      <c r="AA12" s="630">
        <v>0</v>
      </c>
      <c r="AB12" s="467">
        <v>0</v>
      </c>
      <c r="AC12" s="366">
        <f t="shared" si="7"/>
        <v>0</v>
      </c>
      <c r="AD12" s="366">
        <f t="shared" si="8"/>
        <v>0</v>
      </c>
      <c r="AE12" s="467">
        <v>0</v>
      </c>
      <c r="AF12" s="589">
        <v>0</v>
      </c>
      <c r="AG12" s="589">
        <v>0</v>
      </c>
      <c r="AH12" s="467">
        <v>0</v>
      </c>
    </row>
    <row r="13" spans="1:34">
      <c r="A13" s="213"/>
      <c r="B13" s="39" t="s">
        <v>290</v>
      </c>
      <c r="C13" s="40">
        <v>0</v>
      </c>
      <c r="D13" s="40">
        <v>40</v>
      </c>
      <c r="E13" s="40">
        <v>0</v>
      </c>
      <c r="F13" s="40">
        <v>0</v>
      </c>
      <c r="G13" s="608">
        <v>0</v>
      </c>
      <c r="H13" s="630">
        <v>0</v>
      </c>
      <c r="I13" s="589">
        <v>0</v>
      </c>
      <c r="J13" s="344">
        <v>0</v>
      </c>
      <c r="K13" s="366">
        <f t="shared" si="0"/>
        <v>0</v>
      </c>
      <c r="L13" s="366">
        <f t="shared" si="1"/>
        <v>0</v>
      </c>
      <c r="M13" s="344">
        <v>0</v>
      </c>
      <c r="N13" s="589">
        <v>0</v>
      </c>
      <c r="O13" s="589">
        <v>0</v>
      </c>
      <c r="P13" s="344">
        <v>0</v>
      </c>
      <c r="Q13" s="366">
        <f t="shared" si="3"/>
        <v>0</v>
      </c>
      <c r="R13" s="366">
        <f t="shared" si="4"/>
        <v>0</v>
      </c>
      <c r="S13" s="344">
        <v>0</v>
      </c>
      <c r="T13" s="589">
        <v>0</v>
      </c>
      <c r="U13" s="589">
        <v>0</v>
      </c>
      <c r="V13" s="344">
        <v>0</v>
      </c>
      <c r="W13" s="366">
        <f t="shared" si="5"/>
        <v>0</v>
      </c>
      <c r="X13" s="366">
        <f t="shared" si="6"/>
        <v>0</v>
      </c>
      <c r="Y13" s="467">
        <v>0</v>
      </c>
      <c r="Z13" s="630">
        <v>0</v>
      </c>
      <c r="AA13" s="630">
        <v>0</v>
      </c>
      <c r="AB13" s="467">
        <v>0</v>
      </c>
      <c r="AC13" s="366">
        <f t="shared" si="7"/>
        <v>0</v>
      </c>
      <c r="AD13" s="366">
        <f t="shared" si="8"/>
        <v>0</v>
      </c>
      <c r="AE13" s="467">
        <v>0</v>
      </c>
      <c r="AF13" s="589">
        <v>0</v>
      </c>
      <c r="AG13" s="589">
        <v>0</v>
      </c>
      <c r="AH13" s="467">
        <v>0</v>
      </c>
    </row>
    <row r="14" spans="1:34">
      <c r="A14" s="213"/>
      <c r="B14" s="39" t="s">
        <v>68</v>
      </c>
      <c r="C14" s="40">
        <v>0</v>
      </c>
      <c r="D14" s="40">
        <v>5</v>
      </c>
      <c r="E14" s="40">
        <v>0</v>
      </c>
      <c r="F14" s="40">
        <v>0</v>
      </c>
      <c r="G14" s="608">
        <v>0</v>
      </c>
      <c r="H14" s="630">
        <v>0</v>
      </c>
      <c r="I14" s="589">
        <v>0</v>
      </c>
      <c r="J14" s="344">
        <v>0</v>
      </c>
      <c r="K14" s="587">
        <f t="shared" si="0"/>
        <v>0</v>
      </c>
      <c r="L14" s="366">
        <f t="shared" si="1"/>
        <v>0</v>
      </c>
      <c r="M14" s="344">
        <v>0</v>
      </c>
      <c r="N14" s="589">
        <v>0</v>
      </c>
      <c r="O14" s="589">
        <v>0</v>
      </c>
      <c r="P14" s="344">
        <v>0</v>
      </c>
      <c r="Q14" s="587">
        <f t="shared" si="3"/>
        <v>0</v>
      </c>
      <c r="R14" s="366">
        <f t="shared" si="4"/>
        <v>0</v>
      </c>
      <c r="S14" s="344">
        <v>0</v>
      </c>
      <c r="T14" s="589">
        <v>0</v>
      </c>
      <c r="U14" s="589">
        <v>0</v>
      </c>
      <c r="V14" s="344">
        <v>0</v>
      </c>
      <c r="W14" s="587">
        <f t="shared" si="5"/>
        <v>0</v>
      </c>
      <c r="X14" s="366">
        <f t="shared" si="6"/>
        <v>0</v>
      </c>
      <c r="Y14" s="467">
        <v>0</v>
      </c>
      <c r="Z14" s="630">
        <v>0</v>
      </c>
      <c r="AA14" s="630">
        <v>0</v>
      </c>
      <c r="AB14" s="467">
        <v>0</v>
      </c>
      <c r="AC14" s="587">
        <f t="shared" si="7"/>
        <v>0</v>
      </c>
      <c r="AD14" s="366">
        <f t="shared" si="8"/>
        <v>0</v>
      </c>
      <c r="AE14" s="467">
        <v>0</v>
      </c>
      <c r="AF14" s="589">
        <v>0</v>
      </c>
      <c r="AG14" s="589">
        <v>0</v>
      </c>
      <c r="AH14" s="467">
        <v>0</v>
      </c>
    </row>
    <row r="15" spans="1:34">
      <c r="A15" s="213"/>
      <c r="B15" s="39" t="s">
        <v>18</v>
      </c>
      <c r="C15" s="40">
        <f t="shared" ref="C15:E15" si="11">C16-SUM(C5:C14)</f>
        <v>66</v>
      </c>
      <c r="D15" s="40">
        <f t="shared" si="11"/>
        <v>4</v>
      </c>
      <c r="E15" s="40">
        <f t="shared" si="11"/>
        <v>21</v>
      </c>
      <c r="F15" s="40">
        <f>F16-SUM(F5:F14)</f>
        <v>5</v>
      </c>
      <c r="G15" s="608">
        <f>G16-SUM(G5:G14)</f>
        <v>3</v>
      </c>
      <c r="H15" s="630">
        <f t="shared" ref="H15" si="12">H16-SUM(H5:H14)</f>
        <v>0</v>
      </c>
      <c r="I15" s="589">
        <f t="shared" ref="I15" si="13">I16-SUM(I5:I14)</f>
        <v>0</v>
      </c>
      <c r="J15" s="172">
        <v>0</v>
      </c>
      <c r="K15" s="359">
        <f>K16-SUM(K5:K14)</f>
        <v>1</v>
      </c>
      <c r="L15" s="366">
        <f>L16-SUM(L5:L14)</f>
        <v>0</v>
      </c>
      <c r="M15" s="172">
        <v>0</v>
      </c>
      <c r="N15" s="589">
        <f>N16-SUM(N5:N14)</f>
        <v>1</v>
      </c>
      <c r="O15" s="589">
        <f t="shared" ref="O15" si="14">O16-SUM(O5:O14)</f>
        <v>0</v>
      </c>
      <c r="P15" s="172">
        <v>0</v>
      </c>
      <c r="Q15" s="359">
        <f>Q16-SUM(Q5:Q14)</f>
        <v>0</v>
      </c>
      <c r="R15" s="366">
        <f>R16-SUM(R5:R14)</f>
        <v>0</v>
      </c>
      <c r="S15" s="172">
        <v>0</v>
      </c>
      <c r="T15" s="589">
        <f>T16-SUM(T5:T14)</f>
        <v>1</v>
      </c>
      <c r="U15" s="589">
        <f t="shared" ref="U15" si="15">U16-SUM(U5:U14)</f>
        <v>0</v>
      </c>
      <c r="V15" s="659">
        <f>ROUND(((U15/T15-1)*100), 1)</f>
        <v>-100</v>
      </c>
      <c r="W15" s="468">
        <f>W16-SUM(W5:W14)</f>
        <v>1</v>
      </c>
      <c r="X15" s="366">
        <f>X16-SUM(X5:X14)</f>
        <v>0</v>
      </c>
      <c r="Y15" s="659">
        <f>ROUND(((X15/W15-1)*100), 1)</f>
        <v>-100</v>
      </c>
      <c r="Z15" s="630">
        <f>Z16-SUM(Z5:Z14)</f>
        <v>2</v>
      </c>
      <c r="AA15" s="630">
        <f t="shared" ref="AA15" si="16">AA16-SUM(AA5:AA14)</f>
        <v>0</v>
      </c>
      <c r="AB15" s="659">
        <f>ROUND(((AA15/Z15-1)*100), 1)</f>
        <v>-100</v>
      </c>
      <c r="AC15" s="468">
        <f>AC16-SUM(AC5:AC14)</f>
        <v>0</v>
      </c>
      <c r="AD15" s="366">
        <f>AD16-SUM(AD5:AD14)</f>
        <v>0</v>
      </c>
      <c r="AE15" s="463">
        <v>0</v>
      </c>
      <c r="AF15" s="589">
        <f>AF16-SUM(AF5:AF14)</f>
        <v>2</v>
      </c>
      <c r="AG15" s="589">
        <f t="shared" ref="AG15" si="17">AG16-SUM(AG5:AG14)</f>
        <v>0</v>
      </c>
      <c r="AH15" s="463">
        <v>0</v>
      </c>
    </row>
    <row r="16" spans="1:34">
      <c r="A16" s="212"/>
      <c r="B16" s="63" t="s">
        <v>101</v>
      </c>
      <c r="C16" s="42">
        <v>2116</v>
      </c>
      <c r="D16" s="42">
        <v>2254</v>
      </c>
      <c r="E16" s="42">
        <v>1965</v>
      </c>
      <c r="F16" s="42">
        <v>2030</v>
      </c>
      <c r="G16" s="609">
        <v>2853</v>
      </c>
      <c r="H16" s="632">
        <v>234</v>
      </c>
      <c r="I16" s="582">
        <v>59</v>
      </c>
      <c r="J16" s="288">
        <f>ROUND(((I16/H16-1)*100), 1)</f>
        <v>-74.8</v>
      </c>
      <c r="K16" s="376">
        <f t="shared" ref="K16:L23" si="18">N16-H16</f>
        <v>232</v>
      </c>
      <c r="L16" s="280">
        <f t="shared" si="18"/>
        <v>263</v>
      </c>
      <c r="M16" s="288">
        <f>ROUND(((L16/K16-1)*100), 1)</f>
        <v>13.4</v>
      </c>
      <c r="N16" s="582">
        <v>466</v>
      </c>
      <c r="O16" s="582">
        <v>322</v>
      </c>
      <c r="P16" s="288">
        <f>ROUND(((O16/N16-1)*100), 1)</f>
        <v>-30.9</v>
      </c>
      <c r="Q16" s="376">
        <f t="shared" ref="Q16:Q23" si="19">T16-N16</f>
        <v>480</v>
      </c>
      <c r="R16" s="280">
        <f t="shared" ref="R16:R23" si="20">U16-O16</f>
        <v>121</v>
      </c>
      <c r="S16" s="288">
        <f>ROUND(((R16/Q16-1)*100), 1)</f>
        <v>-74.8</v>
      </c>
      <c r="T16" s="582">
        <v>946</v>
      </c>
      <c r="U16" s="582">
        <v>443</v>
      </c>
      <c r="V16" s="288">
        <f>ROUND(((U16/T16-1)*100), 1)</f>
        <v>-53.2</v>
      </c>
      <c r="W16" s="376">
        <f t="shared" ref="W16:W23" si="21">Z16-T16</f>
        <v>252</v>
      </c>
      <c r="X16" s="280">
        <f t="shared" ref="X16:X23" si="22">AA16-U16</f>
        <v>261</v>
      </c>
      <c r="Y16" s="288">
        <f>ROUND(((X16/W16-1)*100), 1)</f>
        <v>3.6</v>
      </c>
      <c r="Z16" s="632">
        <v>1198</v>
      </c>
      <c r="AA16" s="632">
        <v>704</v>
      </c>
      <c r="AB16" s="288">
        <f>ROUND(((AA16/Z16-1)*100), 1)</f>
        <v>-41.2</v>
      </c>
      <c r="AC16" s="376">
        <f t="shared" ref="AC16:AD23" si="23">AF16-Z16</f>
        <v>182</v>
      </c>
      <c r="AD16" s="280">
        <f t="shared" si="23"/>
        <v>136</v>
      </c>
      <c r="AE16" s="288">
        <f>ROUND(((AD16/AC16-1)*100), 1)</f>
        <v>-25.3</v>
      </c>
      <c r="AF16" s="582">
        <v>1380</v>
      </c>
      <c r="AG16" s="582">
        <v>840</v>
      </c>
      <c r="AH16" s="288">
        <f>ROUND(((AG16/AF16-1)*100), 1)</f>
        <v>-39.1</v>
      </c>
    </row>
    <row r="17" spans="1:35">
      <c r="A17" s="213"/>
      <c r="B17" s="39" t="s">
        <v>43</v>
      </c>
      <c r="C17" s="40">
        <v>21949</v>
      </c>
      <c r="D17" s="40">
        <v>21522</v>
      </c>
      <c r="E17" s="40">
        <v>19173</v>
      </c>
      <c r="F17" s="40">
        <v>19689</v>
      </c>
      <c r="G17" s="608">
        <v>19764</v>
      </c>
      <c r="H17" s="630">
        <v>1534</v>
      </c>
      <c r="I17" s="617">
        <v>1718</v>
      </c>
      <c r="J17" s="288">
        <f>ROUND(((I17/H17-1)*100), 1)</f>
        <v>12</v>
      </c>
      <c r="K17" s="366">
        <f t="shared" si="18"/>
        <v>1391</v>
      </c>
      <c r="L17" s="366">
        <f t="shared" si="18"/>
        <v>1085</v>
      </c>
      <c r="M17" s="288">
        <f>ROUND(((L17/K17-1)*100), 1)</f>
        <v>-22</v>
      </c>
      <c r="N17" s="589">
        <v>2925</v>
      </c>
      <c r="O17" s="589">
        <v>2803</v>
      </c>
      <c r="P17" s="288">
        <f>ROUND(((O17/N17-1)*100), 1)</f>
        <v>-4.2</v>
      </c>
      <c r="Q17" s="366">
        <f t="shared" si="19"/>
        <v>2591</v>
      </c>
      <c r="R17" s="366">
        <f t="shared" si="20"/>
        <v>1856</v>
      </c>
      <c r="S17" s="288">
        <f>ROUND(((R17/Q17-1)*100), 1)</f>
        <v>-28.4</v>
      </c>
      <c r="T17" s="589">
        <v>5516</v>
      </c>
      <c r="U17" s="589">
        <v>4659</v>
      </c>
      <c r="V17" s="288">
        <f>ROUND(((U17/T17-1)*100), 1)</f>
        <v>-15.5</v>
      </c>
      <c r="W17" s="366">
        <f t="shared" si="21"/>
        <v>1653</v>
      </c>
      <c r="X17" s="366">
        <f t="shared" si="22"/>
        <v>1538</v>
      </c>
      <c r="Y17" s="288">
        <f>ROUND(((X17/W17-1)*100), 1)</f>
        <v>-7</v>
      </c>
      <c r="Z17" s="630">
        <v>7169</v>
      </c>
      <c r="AA17" s="630">
        <v>6197</v>
      </c>
      <c r="AB17" s="288">
        <f>ROUND(((AA17/Z17-1)*100), 1)</f>
        <v>-13.6</v>
      </c>
      <c r="AC17" s="366">
        <f t="shared" si="23"/>
        <v>1614</v>
      </c>
      <c r="AD17" s="366">
        <f t="shared" si="23"/>
        <v>1817</v>
      </c>
      <c r="AE17" s="288">
        <f>ROUND(((AD17/AC17-1)*100), 1)</f>
        <v>12.6</v>
      </c>
      <c r="AF17" s="589">
        <v>8783</v>
      </c>
      <c r="AG17" s="589">
        <v>8014</v>
      </c>
      <c r="AH17" s="288">
        <f>ROUND(((AG17/AF17-1)*100), 1)</f>
        <v>-8.8000000000000007</v>
      </c>
    </row>
    <row r="18" spans="1:35">
      <c r="A18" s="213" t="s">
        <v>103</v>
      </c>
      <c r="B18" s="39" t="s">
        <v>311</v>
      </c>
      <c r="C18" s="40">
        <v>60</v>
      </c>
      <c r="D18" s="40">
        <v>0</v>
      </c>
      <c r="E18" s="40">
        <v>0</v>
      </c>
      <c r="F18" s="40">
        <v>22</v>
      </c>
      <c r="G18" s="608">
        <v>12</v>
      </c>
      <c r="H18" s="630">
        <v>0</v>
      </c>
      <c r="I18" s="589">
        <v>0</v>
      </c>
      <c r="J18" s="171">
        <v>0</v>
      </c>
      <c r="K18" s="359">
        <f t="shared" si="18"/>
        <v>0</v>
      </c>
      <c r="L18" s="366">
        <f t="shared" si="18"/>
        <v>0</v>
      </c>
      <c r="M18" s="171">
        <v>0</v>
      </c>
      <c r="N18" s="589">
        <v>0</v>
      </c>
      <c r="O18" s="589">
        <v>0</v>
      </c>
      <c r="P18" s="171">
        <v>0</v>
      </c>
      <c r="Q18" s="359">
        <f t="shared" si="19"/>
        <v>0</v>
      </c>
      <c r="R18" s="366">
        <f t="shared" si="20"/>
        <v>0</v>
      </c>
      <c r="S18" s="171">
        <v>0</v>
      </c>
      <c r="T18" s="589">
        <v>0</v>
      </c>
      <c r="U18" s="589">
        <v>0</v>
      </c>
      <c r="V18" s="579">
        <v>0</v>
      </c>
      <c r="W18" s="468">
        <f t="shared" si="21"/>
        <v>0</v>
      </c>
      <c r="X18" s="366">
        <f t="shared" si="22"/>
        <v>79</v>
      </c>
      <c r="Y18" s="462">
        <v>0</v>
      </c>
      <c r="Z18" s="630">
        <v>0</v>
      </c>
      <c r="AA18" s="630">
        <v>79</v>
      </c>
      <c r="AB18" s="462">
        <v>0</v>
      </c>
      <c r="AC18" s="468">
        <f t="shared" si="23"/>
        <v>0</v>
      </c>
      <c r="AD18" s="366">
        <f t="shared" si="23"/>
        <v>40</v>
      </c>
      <c r="AE18" s="462">
        <v>0</v>
      </c>
      <c r="AF18" s="589">
        <v>0</v>
      </c>
      <c r="AG18" s="589">
        <v>119</v>
      </c>
      <c r="AH18" s="462">
        <v>0</v>
      </c>
    </row>
    <row r="19" spans="1:35">
      <c r="A19" s="213"/>
      <c r="B19" s="39" t="s">
        <v>46</v>
      </c>
      <c r="C19" s="40">
        <v>38</v>
      </c>
      <c r="D19" s="40">
        <v>38</v>
      </c>
      <c r="E19" s="40">
        <v>3</v>
      </c>
      <c r="F19" s="40">
        <v>1</v>
      </c>
      <c r="G19" s="608">
        <v>9</v>
      </c>
      <c r="H19" s="630">
        <v>0</v>
      </c>
      <c r="I19" s="589">
        <v>0</v>
      </c>
      <c r="J19" s="171">
        <v>0</v>
      </c>
      <c r="K19" s="359">
        <f t="shared" si="18"/>
        <v>3</v>
      </c>
      <c r="L19" s="366">
        <f t="shared" si="18"/>
        <v>0</v>
      </c>
      <c r="M19" s="581">
        <f>ROUND(((L19/K19-1)*100), 1)</f>
        <v>-100</v>
      </c>
      <c r="N19" s="589">
        <v>3</v>
      </c>
      <c r="O19" s="589">
        <v>0</v>
      </c>
      <c r="P19" s="581">
        <f>ROUND(((O19/N19-1)*100), 1)</f>
        <v>-100</v>
      </c>
      <c r="Q19" s="359">
        <f t="shared" si="19"/>
        <v>0</v>
      </c>
      <c r="R19" s="366">
        <f t="shared" si="20"/>
        <v>0</v>
      </c>
      <c r="S19" s="171">
        <v>0</v>
      </c>
      <c r="T19" s="589">
        <v>3</v>
      </c>
      <c r="U19" s="589">
        <v>0</v>
      </c>
      <c r="V19" s="581">
        <f>ROUND(((U19/T19-1)*100), 1)</f>
        <v>-100</v>
      </c>
      <c r="W19" s="468">
        <f t="shared" si="21"/>
        <v>6</v>
      </c>
      <c r="X19" s="366">
        <f t="shared" si="22"/>
        <v>0</v>
      </c>
      <c r="Y19" s="581">
        <f>ROUND(((X19/W19-1)*100), 1)</f>
        <v>-100</v>
      </c>
      <c r="Z19" s="630">
        <v>9</v>
      </c>
      <c r="AA19" s="630">
        <v>0</v>
      </c>
      <c r="AB19" s="581">
        <f>ROUND(((AA19/Z19-1)*100), 1)</f>
        <v>-100</v>
      </c>
      <c r="AC19" s="468">
        <f t="shared" si="23"/>
        <v>0</v>
      </c>
      <c r="AD19" s="366">
        <f t="shared" si="23"/>
        <v>4</v>
      </c>
      <c r="AE19" s="462">
        <v>0</v>
      </c>
      <c r="AF19" s="589">
        <v>9</v>
      </c>
      <c r="AG19" s="589">
        <v>4</v>
      </c>
      <c r="AH19" s="581">
        <f t="shared" ref="AH19" si="24">ROUND(((AG19/AF19-1)*100), 1)</f>
        <v>-55.6</v>
      </c>
    </row>
    <row r="20" spans="1:35" s="605" customFormat="1">
      <c r="A20" s="706"/>
      <c r="B20" s="611" t="s">
        <v>587</v>
      </c>
      <c r="C20" s="608">
        <v>0</v>
      </c>
      <c r="D20" s="608">
        <v>0</v>
      </c>
      <c r="E20" s="608">
        <v>0</v>
      </c>
      <c r="F20" s="608">
        <v>0</v>
      </c>
      <c r="G20" s="608">
        <v>0</v>
      </c>
      <c r="H20" s="630">
        <v>0</v>
      </c>
      <c r="I20" s="589">
        <v>0</v>
      </c>
      <c r="J20" s="579">
        <v>0</v>
      </c>
      <c r="K20" s="587">
        <f t="shared" ref="K20" si="25">N20-H20</f>
        <v>0</v>
      </c>
      <c r="L20" s="589">
        <f t="shared" ref="L20" si="26">O20-I20</f>
        <v>22</v>
      </c>
      <c r="M20" s="579">
        <v>0</v>
      </c>
      <c r="N20" s="589">
        <v>0</v>
      </c>
      <c r="O20" s="589">
        <v>22</v>
      </c>
      <c r="P20" s="579">
        <v>0</v>
      </c>
      <c r="Q20" s="587">
        <f t="shared" ref="Q20" si="27">T20-N20</f>
        <v>0</v>
      </c>
      <c r="R20" s="589">
        <f t="shared" ref="R20" si="28">U20-O20</f>
        <v>0</v>
      </c>
      <c r="S20" s="579">
        <v>0</v>
      </c>
      <c r="T20" s="589">
        <v>0</v>
      </c>
      <c r="U20" s="589">
        <v>22</v>
      </c>
      <c r="V20" s="579">
        <v>0</v>
      </c>
      <c r="W20" s="587"/>
      <c r="X20" s="589">
        <f t="shared" si="22"/>
        <v>0</v>
      </c>
      <c r="Y20" s="579"/>
      <c r="Z20" s="630">
        <v>0</v>
      </c>
      <c r="AA20" s="630">
        <v>22</v>
      </c>
      <c r="AB20" s="579"/>
      <c r="AC20" s="587">
        <f t="shared" ref="AC20" si="29">AF20-Z20</f>
        <v>0</v>
      </c>
      <c r="AD20" s="589">
        <f t="shared" ref="AD20" si="30">AG20-AA20</f>
        <v>0</v>
      </c>
      <c r="AE20" s="579">
        <v>0</v>
      </c>
      <c r="AF20" s="589">
        <v>0</v>
      </c>
      <c r="AG20" s="589">
        <v>22</v>
      </c>
      <c r="AH20" s="579"/>
    </row>
    <row r="21" spans="1:35">
      <c r="A21" s="213"/>
      <c r="B21" s="39" t="s">
        <v>61</v>
      </c>
      <c r="C21" s="40">
        <v>0</v>
      </c>
      <c r="D21" s="40">
        <v>20</v>
      </c>
      <c r="E21" s="40">
        <v>0</v>
      </c>
      <c r="F21" s="40">
        <v>0</v>
      </c>
      <c r="G21" s="608">
        <v>0</v>
      </c>
      <c r="H21" s="630">
        <v>0</v>
      </c>
      <c r="I21" s="589">
        <v>0</v>
      </c>
      <c r="J21" s="171">
        <v>0</v>
      </c>
      <c r="K21" s="359">
        <f t="shared" si="18"/>
        <v>0</v>
      </c>
      <c r="L21" s="366">
        <f t="shared" si="18"/>
        <v>0</v>
      </c>
      <c r="M21" s="579">
        <v>0</v>
      </c>
      <c r="N21" s="589">
        <v>0</v>
      </c>
      <c r="O21" s="589">
        <v>0</v>
      </c>
      <c r="P21" s="171">
        <v>0</v>
      </c>
      <c r="Q21" s="359">
        <f t="shared" si="19"/>
        <v>0</v>
      </c>
      <c r="R21" s="366">
        <f t="shared" si="20"/>
        <v>0</v>
      </c>
      <c r="S21" s="171">
        <v>0</v>
      </c>
      <c r="T21" s="589">
        <v>0</v>
      </c>
      <c r="U21" s="589">
        <v>0</v>
      </c>
      <c r="V21" s="171">
        <v>0</v>
      </c>
      <c r="W21" s="468">
        <f t="shared" si="21"/>
        <v>0</v>
      </c>
      <c r="X21" s="366">
        <f t="shared" si="22"/>
        <v>0</v>
      </c>
      <c r="Y21" s="462">
        <v>0</v>
      </c>
      <c r="Z21" s="630">
        <v>0</v>
      </c>
      <c r="AA21" s="630">
        <v>0</v>
      </c>
      <c r="AB21" s="462">
        <v>0</v>
      </c>
      <c r="AC21" s="468">
        <f t="shared" si="23"/>
        <v>0</v>
      </c>
      <c r="AD21" s="366">
        <f t="shared" si="23"/>
        <v>0</v>
      </c>
      <c r="AE21" s="462">
        <v>0</v>
      </c>
      <c r="AF21" s="589">
        <v>0</v>
      </c>
      <c r="AG21" s="589">
        <v>0</v>
      </c>
      <c r="AH21" s="462">
        <v>0</v>
      </c>
    </row>
    <row r="22" spans="1:35" s="277" customFormat="1">
      <c r="A22" s="305"/>
      <c r="B22" s="39" t="s">
        <v>48</v>
      </c>
      <c r="C22" s="40">
        <v>0</v>
      </c>
      <c r="D22" s="40">
        <v>20</v>
      </c>
      <c r="E22" s="40">
        <v>0</v>
      </c>
      <c r="F22" s="40">
        <v>0</v>
      </c>
      <c r="G22" s="608">
        <v>0</v>
      </c>
      <c r="H22" s="630">
        <v>0</v>
      </c>
      <c r="I22" s="589">
        <v>0</v>
      </c>
      <c r="J22" s="171">
        <v>0</v>
      </c>
      <c r="K22" s="359">
        <f t="shared" si="18"/>
        <v>0</v>
      </c>
      <c r="L22" s="366">
        <f t="shared" si="18"/>
        <v>0</v>
      </c>
      <c r="M22" s="171">
        <v>0</v>
      </c>
      <c r="N22" s="589">
        <v>0</v>
      </c>
      <c r="O22" s="589">
        <v>0</v>
      </c>
      <c r="P22" s="171">
        <v>0</v>
      </c>
      <c r="Q22" s="359">
        <f t="shared" si="19"/>
        <v>0</v>
      </c>
      <c r="R22" s="366">
        <f t="shared" si="20"/>
        <v>0</v>
      </c>
      <c r="S22" s="171">
        <v>0</v>
      </c>
      <c r="T22" s="589">
        <v>0</v>
      </c>
      <c r="U22" s="589">
        <v>0</v>
      </c>
      <c r="V22" s="171">
        <v>0</v>
      </c>
      <c r="W22" s="468">
        <f t="shared" si="21"/>
        <v>0</v>
      </c>
      <c r="X22" s="366">
        <f t="shared" si="22"/>
        <v>0</v>
      </c>
      <c r="Y22" s="462">
        <v>0</v>
      </c>
      <c r="Z22" s="630">
        <v>0</v>
      </c>
      <c r="AA22" s="630">
        <v>0</v>
      </c>
      <c r="AB22" s="462">
        <v>0</v>
      </c>
      <c r="AC22" s="468">
        <f t="shared" si="23"/>
        <v>0</v>
      </c>
      <c r="AD22" s="366">
        <f t="shared" si="23"/>
        <v>0</v>
      </c>
      <c r="AE22" s="462">
        <v>0</v>
      </c>
      <c r="AF22" s="589">
        <v>0</v>
      </c>
      <c r="AG22" s="589">
        <v>0</v>
      </c>
      <c r="AH22" s="462">
        <v>0</v>
      </c>
      <c r="AI22" s="605"/>
    </row>
    <row r="23" spans="1:35">
      <c r="A23" s="213"/>
      <c r="B23" s="39" t="s">
        <v>47</v>
      </c>
      <c r="C23" s="40"/>
      <c r="D23" s="40">
        <v>10</v>
      </c>
      <c r="E23" s="40">
        <v>0</v>
      </c>
      <c r="F23" s="40">
        <v>0</v>
      </c>
      <c r="G23" s="608">
        <v>0</v>
      </c>
      <c r="H23" s="630">
        <v>0</v>
      </c>
      <c r="I23" s="589">
        <v>0</v>
      </c>
      <c r="J23" s="171">
        <v>0</v>
      </c>
      <c r="K23" s="359">
        <f t="shared" si="18"/>
        <v>0</v>
      </c>
      <c r="L23" s="366">
        <f t="shared" si="18"/>
        <v>0</v>
      </c>
      <c r="M23" s="171">
        <v>0</v>
      </c>
      <c r="N23" s="589">
        <v>0</v>
      </c>
      <c r="O23" s="589">
        <v>0</v>
      </c>
      <c r="P23" s="171">
        <v>0</v>
      </c>
      <c r="Q23" s="359">
        <f t="shared" si="19"/>
        <v>0</v>
      </c>
      <c r="R23" s="366">
        <f t="shared" si="20"/>
        <v>0</v>
      </c>
      <c r="S23" s="171">
        <v>0</v>
      </c>
      <c r="T23" s="589">
        <v>0</v>
      </c>
      <c r="U23" s="589">
        <v>0</v>
      </c>
      <c r="V23" s="171">
        <v>0</v>
      </c>
      <c r="W23" s="468">
        <f t="shared" si="21"/>
        <v>0</v>
      </c>
      <c r="X23" s="366">
        <f t="shared" si="22"/>
        <v>0</v>
      </c>
      <c r="Y23" s="462">
        <v>0</v>
      </c>
      <c r="Z23" s="630">
        <v>0</v>
      </c>
      <c r="AA23" s="630">
        <v>0</v>
      </c>
      <c r="AB23" s="462">
        <v>0</v>
      </c>
      <c r="AC23" s="468">
        <f t="shared" si="23"/>
        <v>0</v>
      </c>
      <c r="AD23" s="366">
        <f t="shared" si="23"/>
        <v>0</v>
      </c>
      <c r="AE23" s="462">
        <v>0</v>
      </c>
      <c r="AF23" s="589">
        <v>0</v>
      </c>
      <c r="AG23" s="589">
        <v>0</v>
      </c>
      <c r="AH23" s="462">
        <v>0</v>
      </c>
      <c r="AI23" s="673"/>
    </row>
    <row r="24" spans="1:35">
      <c r="A24" s="213"/>
      <c r="B24" s="39" t="s">
        <v>18</v>
      </c>
      <c r="C24" s="40">
        <f t="shared" ref="C24:E24" si="31">C25-SUM(C17:C23)</f>
        <v>2</v>
      </c>
      <c r="D24" s="40">
        <f t="shared" si="31"/>
        <v>2</v>
      </c>
      <c r="E24" s="40">
        <f t="shared" si="31"/>
        <v>1</v>
      </c>
      <c r="F24" s="40">
        <f>F25-SUM(F17:F23)</f>
        <v>0</v>
      </c>
      <c r="G24" s="608">
        <f>G25-SUM(G17:G23)</f>
        <v>0</v>
      </c>
      <c r="H24" s="630">
        <f t="shared" ref="H24" si="32">H25-SUM(H17:H23)</f>
        <v>0</v>
      </c>
      <c r="I24" s="589">
        <f t="shared" ref="I24" si="33">I25-SUM(I17:I23)</f>
        <v>0</v>
      </c>
      <c r="J24" s="172">
        <v>0</v>
      </c>
      <c r="K24" s="359">
        <f>K25-SUM(K17:K23)</f>
        <v>0</v>
      </c>
      <c r="L24" s="366">
        <f>L25-SUM(L17:L23)</f>
        <v>0</v>
      </c>
      <c r="M24" s="172">
        <v>0</v>
      </c>
      <c r="N24" s="589">
        <f>N25-SUM(N17:N23)</f>
        <v>0</v>
      </c>
      <c r="O24" s="589">
        <f t="shared" ref="O24" si="34">O25-SUM(O17:O23)</f>
        <v>0</v>
      </c>
      <c r="P24" s="172">
        <v>0</v>
      </c>
      <c r="Q24" s="359">
        <f>Q25-SUM(Q17:Q23)</f>
        <v>0</v>
      </c>
      <c r="R24" s="366">
        <f>R25-SUM(R17:R23)</f>
        <v>0</v>
      </c>
      <c r="S24" s="172">
        <v>0</v>
      </c>
      <c r="T24" s="589">
        <f>T25-SUM(T17:T23)</f>
        <v>0</v>
      </c>
      <c r="U24" s="589">
        <f t="shared" ref="U24" si="35">U25-SUM(U17:U23)</f>
        <v>0</v>
      </c>
      <c r="V24" s="172">
        <v>0</v>
      </c>
      <c r="W24" s="468">
        <f>W25-SUM(W17:W23)</f>
        <v>0</v>
      </c>
      <c r="X24" s="366">
        <f>X25-SUM(X17:X23)</f>
        <v>0</v>
      </c>
      <c r="Y24" s="463">
        <v>0</v>
      </c>
      <c r="Z24" s="630">
        <f>Z25-SUM(Z17:Z23)</f>
        <v>0</v>
      </c>
      <c r="AA24" s="630">
        <f t="shared" ref="AA24" si="36">AA25-SUM(AA17:AA23)</f>
        <v>0</v>
      </c>
      <c r="AB24" s="463">
        <v>0</v>
      </c>
      <c r="AC24" s="468">
        <f>AC25-SUM(AC17:AC23)</f>
        <v>0</v>
      </c>
      <c r="AD24" s="366">
        <f>AD25-SUM(AD17:AD23)</f>
        <v>0</v>
      </c>
      <c r="AE24" s="463">
        <v>0</v>
      </c>
      <c r="AF24" s="589">
        <f>AF25-SUM(AF17:AF23)</f>
        <v>0</v>
      </c>
      <c r="AG24" s="589">
        <f t="shared" ref="AG24" si="37">AG25-SUM(AG17:AG23)</f>
        <v>0</v>
      </c>
      <c r="AH24" s="463">
        <v>0</v>
      </c>
    </row>
    <row r="25" spans="1:35">
      <c r="A25" s="212"/>
      <c r="B25" s="63" t="s">
        <v>101</v>
      </c>
      <c r="C25" s="42">
        <v>22049</v>
      </c>
      <c r="D25" s="42">
        <v>21612</v>
      </c>
      <c r="E25" s="42">
        <v>19177</v>
      </c>
      <c r="F25" s="42">
        <v>19712</v>
      </c>
      <c r="G25" s="609">
        <v>19785</v>
      </c>
      <c r="H25" s="632">
        <v>1534</v>
      </c>
      <c r="I25" s="582">
        <v>1718</v>
      </c>
      <c r="J25" s="290">
        <f>ROUND(((I25/H25-1)*100), 1)</f>
        <v>12</v>
      </c>
      <c r="K25" s="280">
        <f>N25-H25</f>
        <v>1394</v>
      </c>
      <c r="L25" s="280">
        <f>O25-I25</f>
        <v>1107</v>
      </c>
      <c r="M25" s="290">
        <f>ROUND(((L25/K25-1)*100), 1)</f>
        <v>-20.6</v>
      </c>
      <c r="N25" s="582">
        <v>2928</v>
      </c>
      <c r="O25" s="582">
        <v>2825</v>
      </c>
      <c r="P25" s="290">
        <f>ROUND(((O25/N25-1)*100), 1)</f>
        <v>-3.5</v>
      </c>
      <c r="Q25" s="280">
        <f>T25-N25</f>
        <v>2591</v>
      </c>
      <c r="R25" s="280">
        <f>U25-O25</f>
        <v>1856</v>
      </c>
      <c r="S25" s="290">
        <f>ROUND(((R25/Q25-1)*100), 1)</f>
        <v>-28.4</v>
      </c>
      <c r="T25" s="582">
        <v>5519</v>
      </c>
      <c r="U25" s="582">
        <v>4681</v>
      </c>
      <c r="V25" s="290">
        <f>ROUND(((U25/T25-1)*100), 1)</f>
        <v>-15.2</v>
      </c>
      <c r="W25" s="280">
        <f>Z25-T25</f>
        <v>1659</v>
      </c>
      <c r="X25" s="280">
        <f>AA25-U25</f>
        <v>1617</v>
      </c>
      <c r="Y25" s="290">
        <f>ROUND(((X25/W25-1)*100), 1)</f>
        <v>-2.5</v>
      </c>
      <c r="Z25" s="632">
        <v>7178</v>
      </c>
      <c r="AA25" s="632">
        <v>6298</v>
      </c>
      <c r="AB25" s="290">
        <f>ROUND(((AA25/Z25-1)*100), 1)</f>
        <v>-12.3</v>
      </c>
      <c r="AC25" s="280">
        <f>AF25-Z25</f>
        <v>1614</v>
      </c>
      <c r="AD25" s="280">
        <f>AG25-AA25</f>
        <v>1861</v>
      </c>
      <c r="AE25" s="290">
        <f>ROUND(((AD25/AC25-1)*100), 1)</f>
        <v>15.3</v>
      </c>
      <c r="AF25" s="582">
        <v>8792</v>
      </c>
      <c r="AG25" s="582">
        <v>8159</v>
      </c>
      <c r="AH25" s="290">
        <f>ROUND(((AG25/AF25-1)*100), 1)</f>
        <v>-7.2</v>
      </c>
    </row>
  </sheetData>
  <sortState ref="B5:BX14">
    <sortCondition descending="1" ref="G5:G14"/>
  </sortState>
  <mergeCells count="15">
    <mergeCell ref="A3:B4"/>
    <mergeCell ref="H3:J3"/>
    <mergeCell ref="C3:C4"/>
    <mergeCell ref="D3:D4"/>
    <mergeCell ref="E3:E4"/>
    <mergeCell ref="F3:F4"/>
    <mergeCell ref="Q3:S3"/>
    <mergeCell ref="K3:M3"/>
    <mergeCell ref="Z3:AB3"/>
    <mergeCell ref="G3:G4"/>
    <mergeCell ref="N3:P3"/>
    <mergeCell ref="T3:V3"/>
    <mergeCell ref="W3:Y3"/>
    <mergeCell ref="AC3:AE3"/>
    <mergeCell ref="AF3:AH3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zoomScaleNormal="100" workbookViewId="0">
      <pane xSplit="7" ySplit="5" topLeftCell="AE6" activePane="bottomRight" state="frozen"/>
      <selection pane="topRight" activeCell="X1" sqref="X1"/>
      <selection pane="bottomLeft" activeCell="A6" sqref="A6"/>
      <selection pane="bottomRight" sqref="A1:AJ1"/>
    </sheetView>
  </sheetViews>
  <sheetFormatPr defaultRowHeight="16.5"/>
  <cols>
    <col min="1" max="3" width="9.875" style="605" customWidth="1"/>
    <col min="4" max="4" width="6" style="605" customWidth="1"/>
    <col min="5" max="5" width="13.625" style="605" hidden="1" customWidth="1"/>
    <col min="6" max="6" width="13.625" style="1" hidden="1" customWidth="1"/>
    <col min="7" max="7" width="13.625" style="168" hidden="1" customWidth="1"/>
    <col min="8" max="9" width="13.625" style="517" hidden="1" customWidth="1"/>
    <col min="10" max="11" width="11.625" style="517" hidden="1" customWidth="1"/>
    <col min="12" max="12" width="8.625" style="605" hidden="1" customWidth="1"/>
    <col min="13" max="14" width="11.625" style="517" hidden="1" customWidth="1"/>
    <col min="15" max="15" width="8.625" style="605" hidden="1" customWidth="1"/>
    <col min="16" max="17" width="11.625" style="517" hidden="1" customWidth="1"/>
    <col min="18" max="18" width="8.625" style="605" hidden="1" customWidth="1"/>
    <col min="19" max="20" width="11.625" style="517" hidden="1" customWidth="1"/>
    <col min="21" max="21" width="8.625" style="605" hidden="1" customWidth="1"/>
    <col min="22" max="23" width="11.625" style="517" hidden="1" customWidth="1"/>
    <col min="24" max="24" width="8.625" style="605" hidden="1" customWidth="1"/>
    <col min="25" max="26" width="11.625" style="517" hidden="1" customWidth="1"/>
    <col min="27" max="27" width="8.625" style="605" hidden="1" customWidth="1"/>
    <col min="28" max="29" width="11.625" style="517" hidden="1" customWidth="1"/>
    <col min="30" max="30" width="8.625" style="605" hidden="1" customWidth="1"/>
    <col min="31" max="32" width="11.625" style="517" customWidth="1"/>
    <col min="33" max="33" width="8.625" style="605" customWidth="1"/>
    <col min="34" max="35" width="11.625" style="517" customWidth="1"/>
    <col min="36" max="36" width="8.625" style="605" customWidth="1"/>
  </cols>
  <sheetData>
    <row r="1" spans="1:36" ht="22.5">
      <c r="A1" s="736" t="s">
        <v>609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</row>
    <row r="3" spans="1:36">
      <c r="A3" s="485"/>
      <c r="B3" s="485"/>
      <c r="C3" s="485"/>
      <c r="D3" s="485"/>
      <c r="E3" s="485"/>
      <c r="F3" s="486"/>
      <c r="G3" s="486"/>
      <c r="H3" s="486"/>
      <c r="J3" s="486"/>
      <c r="L3" s="669" t="s">
        <v>0</v>
      </c>
      <c r="M3" s="486"/>
      <c r="N3" s="751"/>
      <c r="O3" s="751"/>
      <c r="P3" s="486"/>
      <c r="R3" s="669" t="s">
        <v>0</v>
      </c>
      <c r="S3" s="486"/>
      <c r="T3" s="751"/>
      <c r="U3" s="751"/>
      <c r="V3" s="486"/>
      <c r="X3" s="669" t="s">
        <v>0</v>
      </c>
      <c r="Y3" s="486"/>
      <c r="Z3" s="751"/>
      <c r="AA3" s="751"/>
      <c r="AB3" s="486"/>
      <c r="AD3" s="669" t="s">
        <v>0</v>
      </c>
      <c r="AE3" s="486"/>
      <c r="AF3" s="751"/>
      <c r="AG3" s="751"/>
      <c r="AH3" s="486"/>
      <c r="AJ3" s="669" t="s">
        <v>0</v>
      </c>
    </row>
    <row r="4" spans="1:36" ht="17.25" customHeight="1">
      <c r="A4" s="772" t="s">
        <v>1</v>
      </c>
      <c r="B4" s="773"/>
      <c r="C4" s="773"/>
      <c r="D4" s="774"/>
      <c r="E4" s="758" t="s">
        <v>2</v>
      </c>
      <c r="F4" s="760" t="s">
        <v>3</v>
      </c>
      <c r="G4" s="760" t="s">
        <v>76</v>
      </c>
      <c r="H4" s="749" t="s">
        <v>294</v>
      </c>
      <c r="I4" s="749" t="s">
        <v>431</v>
      </c>
      <c r="J4" s="765" t="s">
        <v>4</v>
      </c>
      <c r="K4" s="766"/>
      <c r="L4" s="767"/>
      <c r="M4" s="765" t="s">
        <v>458</v>
      </c>
      <c r="N4" s="766"/>
      <c r="O4" s="767"/>
      <c r="P4" s="765" t="s">
        <v>459</v>
      </c>
      <c r="Q4" s="766"/>
      <c r="R4" s="767"/>
      <c r="S4" s="765" t="s">
        <v>479</v>
      </c>
      <c r="T4" s="766"/>
      <c r="U4" s="767"/>
      <c r="V4" s="765" t="s">
        <v>480</v>
      </c>
      <c r="W4" s="766"/>
      <c r="X4" s="767"/>
      <c r="Y4" s="765" t="s">
        <v>488</v>
      </c>
      <c r="Z4" s="766"/>
      <c r="AA4" s="767"/>
      <c r="AB4" s="765" t="s">
        <v>489</v>
      </c>
      <c r="AC4" s="766"/>
      <c r="AD4" s="767"/>
      <c r="AE4" s="765" t="s">
        <v>490</v>
      </c>
      <c r="AF4" s="766"/>
      <c r="AG4" s="767"/>
      <c r="AH4" s="765" t="s">
        <v>491</v>
      </c>
      <c r="AI4" s="766"/>
      <c r="AJ4" s="767"/>
    </row>
    <row r="5" spans="1:36" ht="17.25" customHeight="1" thickBot="1">
      <c r="A5" s="775"/>
      <c r="B5" s="776"/>
      <c r="C5" s="776"/>
      <c r="D5" s="777"/>
      <c r="E5" s="759"/>
      <c r="F5" s="761"/>
      <c r="G5" s="761"/>
      <c r="H5" s="750"/>
      <c r="I5" s="750"/>
      <c r="J5" s="674" t="s">
        <v>431</v>
      </c>
      <c r="K5" s="674" t="s">
        <v>503</v>
      </c>
      <c r="L5" s="499" t="s">
        <v>5</v>
      </c>
      <c r="M5" s="674" t="s">
        <v>431</v>
      </c>
      <c r="N5" s="674" t="s">
        <v>503</v>
      </c>
      <c r="O5" s="499" t="s">
        <v>5</v>
      </c>
      <c r="P5" s="674" t="s">
        <v>431</v>
      </c>
      <c r="Q5" s="674" t="s">
        <v>503</v>
      </c>
      <c r="R5" s="499" t="s">
        <v>5</v>
      </c>
      <c r="S5" s="674" t="s">
        <v>431</v>
      </c>
      <c r="T5" s="674" t="s">
        <v>503</v>
      </c>
      <c r="U5" s="499" t="s">
        <v>5</v>
      </c>
      <c r="V5" s="674" t="s">
        <v>431</v>
      </c>
      <c r="W5" s="674" t="s">
        <v>503</v>
      </c>
      <c r="X5" s="499" t="s">
        <v>5</v>
      </c>
      <c r="Y5" s="674" t="s">
        <v>431</v>
      </c>
      <c r="Z5" s="674" t="s">
        <v>503</v>
      </c>
      <c r="AA5" s="499" t="s">
        <v>5</v>
      </c>
      <c r="AB5" s="674" t="s">
        <v>431</v>
      </c>
      <c r="AC5" s="716" t="s">
        <v>503</v>
      </c>
      <c r="AD5" s="499" t="s">
        <v>5</v>
      </c>
      <c r="AE5" s="674" t="s">
        <v>431</v>
      </c>
      <c r="AF5" s="674" t="s">
        <v>503</v>
      </c>
      <c r="AG5" s="499" t="s">
        <v>5</v>
      </c>
      <c r="AH5" s="716" t="s">
        <v>431</v>
      </c>
      <c r="AI5" s="716" t="s">
        <v>503</v>
      </c>
      <c r="AJ5" s="499" t="s">
        <v>5</v>
      </c>
    </row>
    <row r="6" spans="1:36" ht="22.5" customHeight="1">
      <c r="A6" s="768" t="s">
        <v>6</v>
      </c>
      <c r="B6" s="770" t="s">
        <v>7</v>
      </c>
      <c r="C6" s="771" t="s">
        <v>278</v>
      </c>
      <c r="D6" s="696" t="s">
        <v>569</v>
      </c>
      <c r="E6" s="410">
        <v>251454</v>
      </c>
      <c r="F6" s="194">
        <v>221889</v>
      </c>
      <c r="G6" s="56">
        <v>227517</v>
      </c>
      <c r="H6" s="398">
        <v>247593</v>
      </c>
      <c r="I6" s="301">
        <v>250068</v>
      </c>
      <c r="J6" s="301">
        <v>17841</v>
      </c>
      <c r="K6" s="301">
        <v>18581</v>
      </c>
      <c r="L6" s="511">
        <f>ROUND(((K6/J6-1)*100),1)</f>
        <v>4.0999999999999996</v>
      </c>
      <c r="M6" s="518">
        <f>P6-J6</f>
        <v>18523</v>
      </c>
      <c r="N6" s="518">
        <f>Q6-K6</f>
        <v>21783</v>
      </c>
      <c r="O6" s="511">
        <f>ROUND(((N6/M6-1)*100),1)</f>
        <v>17.600000000000001</v>
      </c>
      <c r="P6" s="301">
        <v>36364</v>
      </c>
      <c r="Q6" s="301">
        <v>40364</v>
      </c>
      <c r="R6" s="511">
        <f>ROUND(((Q6/P6-1)*100),1)</f>
        <v>11</v>
      </c>
      <c r="S6" s="518">
        <f>V6-P6</f>
        <v>12867</v>
      </c>
      <c r="T6" s="518">
        <f>W6-Q6</f>
        <v>18268</v>
      </c>
      <c r="U6" s="511">
        <f>ROUND(((T6/S6-1)*100),1)</f>
        <v>42</v>
      </c>
      <c r="V6" s="301">
        <v>49231</v>
      </c>
      <c r="W6" s="519">
        <v>58632</v>
      </c>
      <c r="X6" s="511">
        <f>ROUND(((W6/V6-1)*100),1)</f>
        <v>19.100000000000001</v>
      </c>
      <c r="Y6" s="518">
        <f>AB6-V6</f>
        <v>19926</v>
      </c>
      <c r="Z6" s="518">
        <f>AC6-W6</f>
        <v>23913</v>
      </c>
      <c r="AA6" s="511">
        <f>ROUND(((Z6/Y6-1)*100),1)</f>
        <v>20</v>
      </c>
      <c r="AB6" s="301">
        <v>69157</v>
      </c>
      <c r="AC6" s="519">
        <v>82545</v>
      </c>
      <c r="AD6" s="511">
        <f>ROUND(((AC6/AB6-1)*100),1)</f>
        <v>19.399999999999999</v>
      </c>
      <c r="AE6" s="518">
        <f>AH6-AB6</f>
        <v>19134</v>
      </c>
      <c r="AF6" s="518">
        <f>AI6-AC6</f>
        <v>27948</v>
      </c>
      <c r="AG6" s="511">
        <f>ROUND(((AF6/AE6-1)*100),1)</f>
        <v>46.1</v>
      </c>
      <c r="AH6" s="301">
        <v>88291</v>
      </c>
      <c r="AI6" s="519">
        <v>110493</v>
      </c>
      <c r="AJ6" s="511">
        <f>ROUND(((AI6/AH6-1)*100),1)</f>
        <v>25.1</v>
      </c>
    </row>
    <row r="7" spans="1:36" ht="22.5" customHeight="1">
      <c r="A7" s="769"/>
      <c r="B7" s="753"/>
      <c r="C7" s="763"/>
      <c r="D7" s="665" t="s">
        <v>8</v>
      </c>
      <c r="E7" s="411">
        <v>1242633</v>
      </c>
      <c r="F7" s="196">
        <v>1413589</v>
      </c>
      <c r="G7" s="174">
        <v>1510157</v>
      </c>
      <c r="H7" s="401">
        <v>1503800</v>
      </c>
      <c r="I7" s="606">
        <v>1575898</v>
      </c>
      <c r="J7" s="606">
        <v>106805</v>
      </c>
      <c r="K7" s="606">
        <v>151074</v>
      </c>
      <c r="L7" s="505">
        <f t="shared" ref="L7:L70" si="0">ROUND(((K7/J7-1)*100),1)</f>
        <v>41.4</v>
      </c>
      <c r="M7" s="606">
        <f>P7-J7</f>
        <v>107160</v>
      </c>
      <c r="N7" s="606">
        <f>Q7-K7</f>
        <v>183166</v>
      </c>
      <c r="O7" s="505">
        <f t="shared" ref="O7:O70" si="1">ROUND(((N7/M7-1)*100),1)</f>
        <v>70.900000000000006</v>
      </c>
      <c r="P7" s="606">
        <v>213965</v>
      </c>
      <c r="Q7" s="606">
        <v>334240</v>
      </c>
      <c r="R7" s="505">
        <f t="shared" ref="R7:R70" si="2">ROUND(((Q7/P7-1)*100),1)</f>
        <v>56.2</v>
      </c>
      <c r="S7" s="606">
        <f>V7-P7</f>
        <v>69362</v>
      </c>
      <c r="T7" s="606">
        <f>W7-Q7</f>
        <v>169806</v>
      </c>
      <c r="U7" s="505">
        <f t="shared" ref="U7:U70" si="3">ROUND(((T7/S7-1)*100),1)</f>
        <v>144.80000000000001</v>
      </c>
      <c r="V7" s="606">
        <v>283327</v>
      </c>
      <c r="W7" s="606">
        <v>504046</v>
      </c>
      <c r="X7" s="505">
        <f t="shared" ref="X7:X70" si="4">ROUND(((W7/V7-1)*100),1)</f>
        <v>77.900000000000006</v>
      </c>
      <c r="Y7" s="606">
        <f>AB7-V7</f>
        <v>102487</v>
      </c>
      <c r="Z7" s="606">
        <f>AC7-W7</f>
        <v>222273</v>
      </c>
      <c r="AA7" s="505">
        <f t="shared" ref="AA7:AA70" si="5">ROUND(((Z7/Y7-1)*100),1)</f>
        <v>116.9</v>
      </c>
      <c r="AB7" s="606">
        <v>385814</v>
      </c>
      <c r="AC7" s="606">
        <v>726319</v>
      </c>
      <c r="AD7" s="505">
        <f t="shared" ref="AD7:AD70" si="6">ROUND(((AC7/AB7-1)*100),1)</f>
        <v>88.3</v>
      </c>
      <c r="AE7" s="606">
        <f>AH7-AB7</f>
        <v>102226</v>
      </c>
      <c r="AF7" s="606">
        <f>AI7-AC7</f>
        <v>285253</v>
      </c>
      <c r="AG7" s="505">
        <f t="shared" ref="AG7:AG70" si="7">ROUND(((AF7/AE7-1)*100),1)</f>
        <v>179</v>
      </c>
      <c r="AH7" s="606">
        <v>488040</v>
      </c>
      <c r="AI7" s="606">
        <v>1011572</v>
      </c>
      <c r="AJ7" s="505">
        <f t="shared" ref="AJ7:AJ70" si="8">ROUND(((AI7/AH7-1)*100),1)</f>
        <v>107.3</v>
      </c>
    </row>
    <row r="8" spans="1:36" ht="22.5" customHeight="1">
      <c r="A8" s="668"/>
      <c r="B8" s="754"/>
      <c r="C8" s="764"/>
      <c r="D8" s="666" t="s">
        <v>9</v>
      </c>
      <c r="E8" s="412">
        <f t="shared" ref="E8:G8" si="9">E7/E6*1000</f>
        <v>4941.7905461833971</v>
      </c>
      <c r="F8" s="197">
        <f t="shared" si="9"/>
        <v>6370.7033697028701</v>
      </c>
      <c r="G8" s="175">
        <f t="shared" si="9"/>
        <v>6637.5567540007996</v>
      </c>
      <c r="H8" s="402">
        <f>H7/H6*1000</f>
        <v>6073.6773656767364</v>
      </c>
      <c r="I8" s="516">
        <f>I7/I6*1000</f>
        <v>6301.8778892141336</v>
      </c>
      <c r="J8" s="516">
        <f>J7/J6*1000</f>
        <v>5986.4917885768728</v>
      </c>
      <c r="K8" s="516">
        <f>K7/K6*1000</f>
        <v>8130.5634788224525</v>
      </c>
      <c r="L8" s="512">
        <f t="shared" si="0"/>
        <v>35.799999999999997</v>
      </c>
      <c r="M8" s="516">
        <f>M7/M6*1000</f>
        <v>5785.2399719267942</v>
      </c>
      <c r="N8" s="516">
        <f>N7/N6*1000</f>
        <v>8408.6673093696918</v>
      </c>
      <c r="O8" s="512">
        <f t="shared" si="1"/>
        <v>45.3</v>
      </c>
      <c r="P8" s="516">
        <f>P7/P6*1000</f>
        <v>5883.9786602133972</v>
      </c>
      <c r="Q8" s="516">
        <f>Q7/Q6*1000</f>
        <v>8280.6461203052222</v>
      </c>
      <c r="R8" s="512">
        <f t="shared" si="2"/>
        <v>40.700000000000003</v>
      </c>
      <c r="S8" s="516">
        <f>S7/S6*1000</f>
        <v>5390.6893603792651</v>
      </c>
      <c r="T8" s="516">
        <f>T7/T6*1000</f>
        <v>9295.2704182176476</v>
      </c>
      <c r="U8" s="512">
        <f t="shared" si="3"/>
        <v>72.400000000000006</v>
      </c>
      <c r="V8" s="516">
        <f>V7/V6*1000</f>
        <v>5755.0527106904183</v>
      </c>
      <c r="W8" s="514">
        <f t="shared" ref="W8" si="10">W7/W6*1000</f>
        <v>8596.7730931914321</v>
      </c>
      <c r="X8" s="512">
        <f t="shared" si="4"/>
        <v>49.4</v>
      </c>
      <c r="Y8" s="516">
        <f>Y7/Y6*1000</f>
        <v>5143.3805078791529</v>
      </c>
      <c r="Z8" s="516">
        <f>Z7/Z6*1000</f>
        <v>9295.0696273993235</v>
      </c>
      <c r="AA8" s="512">
        <f t="shared" si="5"/>
        <v>80.7</v>
      </c>
      <c r="AB8" s="516">
        <f>AB7/AB6*1000</f>
        <v>5578.8134245268011</v>
      </c>
      <c r="AC8" s="514">
        <f t="shared" ref="AC8" si="11">AC7/AC6*1000</f>
        <v>8799.0671754800424</v>
      </c>
      <c r="AD8" s="512">
        <f t="shared" si="6"/>
        <v>57.7</v>
      </c>
      <c r="AE8" s="516">
        <f>AE7/AE6*1000</f>
        <v>5342.6361450820532</v>
      </c>
      <c r="AF8" s="516">
        <f>AF7/AF6*1000</f>
        <v>10206.562186918562</v>
      </c>
      <c r="AG8" s="512">
        <f t="shared" si="7"/>
        <v>91</v>
      </c>
      <c r="AH8" s="516">
        <f>AH7/AH6*1000</f>
        <v>5527.6302227860151</v>
      </c>
      <c r="AI8" s="514">
        <f t="shared" ref="AI8" si="12">AI7/AI6*1000</f>
        <v>9155.0776972296899</v>
      </c>
      <c r="AJ8" s="512">
        <f t="shared" si="8"/>
        <v>65.599999999999994</v>
      </c>
    </row>
    <row r="9" spans="1:36" ht="22.5" customHeight="1">
      <c r="A9" s="668"/>
      <c r="B9" s="752" t="s">
        <v>10</v>
      </c>
      <c r="C9" s="762" t="s">
        <v>279</v>
      </c>
      <c r="D9" s="695" t="s">
        <v>569</v>
      </c>
      <c r="E9" s="413">
        <f>268749-E6</f>
        <v>17295</v>
      </c>
      <c r="F9" s="199">
        <f>238175-F6</f>
        <v>16286</v>
      </c>
      <c r="G9" s="176">
        <f>243944-G6</f>
        <v>16427</v>
      </c>
      <c r="H9" s="520">
        <f>275234-H6</f>
        <v>27641</v>
      </c>
      <c r="I9" s="503">
        <f>284339-I6</f>
        <v>34271</v>
      </c>
      <c r="J9" s="503">
        <f>20029-J6</f>
        <v>2188</v>
      </c>
      <c r="K9" s="503">
        <f>21380-K6</f>
        <v>2799</v>
      </c>
      <c r="L9" s="513">
        <f t="shared" si="0"/>
        <v>27.9</v>
      </c>
      <c r="M9" s="607">
        <f>P9-J9</f>
        <v>2410</v>
      </c>
      <c r="N9" s="607">
        <f>Q9-K9</f>
        <v>2394</v>
      </c>
      <c r="O9" s="513">
        <f t="shared" si="1"/>
        <v>-0.7</v>
      </c>
      <c r="P9" s="503">
        <f>40962-P6</f>
        <v>4598</v>
      </c>
      <c r="Q9" s="503">
        <f>45557-Q6</f>
        <v>5193</v>
      </c>
      <c r="R9" s="513">
        <f t="shared" si="2"/>
        <v>12.9</v>
      </c>
      <c r="S9" s="607">
        <f>V9-P9</f>
        <v>2701</v>
      </c>
      <c r="T9" s="607">
        <f>W9-Q9</f>
        <v>3450</v>
      </c>
      <c r="U9" s="513">
        <f t="shared" si="3"/>
        <v>27.7</v>
      </c>
      <c r="V9" s="503">
        <f>56530-V6</f>
        <v>7299</v>
      </c>
      <c r="W9" s="607">
        <f>67275-W6</f>
        <v>8643</v>
      </c>
      <c r="X9" s="513">
        <f t="shared" si="4"/>
        <v>18.399999999999999</v>
      </c>
      <c r="Y9" s="607">
        <f>AB9-V9</f>
        <v>2768</v>
      </c>
      <c r="Z9" s="607">
        <f>AC9-W9</f>
        <v>2899</v>
      </c>
      <c r="AA9" s="513">
        <f t="shared" si="5"/>
        <v>4.7</v>
      </c>
      <c r="AB9" s="503">
        <f>79224-AB6</f>
        <v>10067</v>
      </c>
      <c r="AC9" s="607">
        <f>94087-AC6</f>
        <v>11542</v>
      </c>
      <c r="AD9" s="513">
        <f t="shared" si="6"/>
        <v>14.7</v>
      </c>
      <c r="AE9" s="607">
        <f>AH9-AB9</f>
        <v>2300</v>
      </c>
      <c r="AF9" s="607">
        <f>AI9-AC9</f>
        <v>2885</v>
      </c>
      <c r="AG9" s="513">
        <f t="shared" si="7"/>
        <v>25.4</v>
      </c>
      <c r="AH9" s="503">
        <f>100658-AH6</f>
        <v>12367</v>
      </c>
      <c r="AI9" s="607">
        <f>124920-AI6</f>
        <v>14427</v>
      </c>
      <c r="AJ9" s="513">
        <f t="shared" si="8"/>
        <v>16.7</v>
      </c>
    </row>
    <row r="10" spans="1:36" ht="22.5" customHeight="1">
      <c r="A10" s="668"/>
      <c r="B10" s="753"/>
      <c r="C10" s="763"/>
      <c r="D10" s="665" t="s">
        <v>8</v>
      </c>
      <c r="E10" s="411">
        <f>1318095-E7</f>
        <v>75462</v>
      </c>
      <c r="F10" s="196">
        <f>1499091-F7</f>
        <v>85502</v>
      </c>
      <c r="G10" s="174">
        <f>1604338-G7</f>
        <v>94181</v>
      </c>
      <c r="H10" s="403">
        <f>1643645-H7</f>
        <v>139845</v>
      </c>
      <c r="I10" s="606">
        <f>1735880-I7</f>
        <v>159982</v>
      </c>
      <c r="J10" s="606">
        <f>116521-J7</f>
        <v>9716</v>
      </c>
      <c r="K10" s="606">
        <f>166736-K7</f>
        <v>15662</v>
      </c>
      <c r="L10" s="505">
        <f t="shared" si="0"/>
        <v>61.2</v>
      </c>
      <c r="M10" s="606">
        <f>P10-J10</f>
        <v>10886</v>
      </c>
      <c r="N10" s="606">
        <f>Q10-K10</f>
        <v>14925</v>
      </c>
      <c r="O10" s="505">
        <f t="shared" si="1"/>
        <v>37.1</v>
      </c>
      <c r="P10" s="606">
        <f>234567-P7</f>
        <v>20602</v>
      </c>
      <c r="Q10" s="606">
        <f>364827-Q7</f>
        <v>30587</v>
      </c>
      <c r="R10" s="505">
        <f t="shared" si="2"/>
        <v>48.5</v>
      </c>
      <c r="S10" s="606">
        <f>V10-P10</f>
        <v>11802</v>
      </c>
      <c r="T10" s="606">
        <f>W10-Q10</f>
        <v>21025</v>
      </c>
      <c r="U10" s="505">
        <f t="shared" si="3"/>
        <v>78.099999999999994</v>
      </c>
      <c r="V10" s="606">
        <f>315731-V7</f>
        <v>32404</v>
      </c>
      <c r="W10" s="606">
        <f>555658-W7</f>
        <v>51612</v>
      </c>
      <c r="X10" s="505">
        <f t="shared" si="4"/>
        <v>59.3</v>
      </c>
      <c r="Y10" s="606">
        <f>AB10-V10</f>
        <v>9818</v>
      </c>
      <c r="Z10" s="606">
        <f>AC10-W10</f>
        <v>19114</v>
      </c>
      <c r="AA10" s="505">
        <f t="shared" si="5"/>
        <v>94.7</v>
      </c>
      <c r="AB10" s="606">
        <f>428036-AB7</f>
        <v>42222</v>
      </c>
      <c r="AC10" s="606">
        <f>797045-AC7</f>
        <v>70726</v>
      </c>
      <c r="AD10" s="505">
        <f t="shared" si="6"/>
        <v>67.5</v>
      </c>
      <c r="AE10" s="606">
        <f>AH10-AB10</f>
        <v>9601</v>
      </c>
      <c r="AF10" s="606">
        <f>AI10-AC10</f>
        <v>19169</v>
      </c>
      <c r="AG10" s="505">
        <f t="shared" si="7"/>
        <v>99.7</v>
      </c>
      <c r="AH10" s="606">
        <f>539863-AH7</f>
        <v>51823</v>
      </c>
      <c r="AI10" s="606">
        <f>1101467-AI7</f>
        <v>89895</v>
      </c>
      <c r="AJ10" s="505">
        <f t="shared" si="8"/>
        <v>73.5</v>
      </c>
    </row>
    <row r="11" spans="1:36" ht="22.5" customHeight="1">
      <c r="A11" s="668"/>
      <c r="B11" s="754"/>
      <c r="C11" s="764"/>
      <c r="D11" s="667" t="s">
        <v>9</v>
      </c>
      <c r="E11" s="412">
        <f t="shared" ref="E11:G11" si="13">E10/E9*1000</f>
        <v>4363.2263660017352</v>
      </c>
      <c r="F11" s="197">
        <f t="shared" si="13"/>
        <v>5250.0307012157682</v>
      </c>
      <c r="G11" s="175">
        <f t="shared" si="13"/>
        <v>5733.3049248188954</v>
      </c>
      <c r="H11" s="402">
        <f>H10/H9*1000</f>
        <v>5059.3321515140551</v>
      </c>
      <c r="I11" s="516">
        <f>I10/I9*1000</f>
        <v>4668.1450789297069</v>
      </c>
      <c r="J11" s="516">
        <f>J10/J9*1000</f>
        <v>4440.5850091407674</v>
      </c>
      <c r="K11" s="516">
        <f>K10/K9*1000</f>
        <v>5595.5698463737044</v>
      </c>
      <c r="L11" s="512">
        <f t="shared" si="0"/>
        <v>26</v>
      </c>
      <c r="M11" s="516">
        <f>M10/M9*1000</f>
        <v>4517.0124481327803</v>
      </c>
      <c r="N11" s="516">
        <f>N10/N9*1000</f>
        <v>6234.3358395989972</v>
      </c>
      <c r="O11" s="512">
        <f t="shared" si="1"/>
        <v>38</v>
      </c>
      <c r="P11" s="516">
        <f>P10/P9*1000</f>
        <v>4480.6437581557202</v>
      </c>
      <c r="Q11" s="516">
        <f>Q10/Q9*1000</f>
        <v>5890.0442903909106</v>
      </c>
      <c r="R11" s="512">
        <f t="shared" si="2"/>
        <v>31.5</v>
      </c>
      <c r="S11" s="516">
        <f>S10/S9*1000</f>
        <v>4369.4927804516847</v>
      </c>
      <c r="T11" s="516">
        <f>T10/T9*1000</f>
        <v>6094.202898550725</v>
      </c>
      <c r="U11" s="512">
        <f t="shared" si="3"/>
        <v>39.5</v>
      </c>
      <c r="V11" s="516">
        <f>V10/V9*1000</f>
        <v>4439.5122619536924</v>
      </c>
      <c r="W11" s="514">
        <f t="shared" ref="W11" si="14">W10/W9*1000</f>
        <v>5971.5376605345373</v>
      </c>
      <c r="X11" s="512">
        <f t="shared" si="4"/>
        <v>34.5</v>
      </c>
      <c r="Y11" s="516">
        <f>Y10/Y9*1000</f>
        <v>3546.965317919075</v>
      </c>
      <c r="Z11" s="516">
        <f>Z10/Z9*1000</f>
        <v>6593.3080372542263</v>
      </c>
      <c r="AA11" s="512">
        <f t="shared" si="5"/>
        <v>85.9</v>
      </c>
      <c r="AB11" s="516">
        <f>AB10/AB9*1000</f>
        <v>4194.0995331280419</v>
      </c>
      <c r="AC11" s="514">
        <f t="shared" ref="AC11" si="15">AC10/AC9*1000</f>
        <v>6127.7075030324031</v>
      </c>
      <c r="AD11" s="512">
        <f t="shared" si="6"/>
        <v>46.1</v>
      </c>
      <c r="AE11" s="516">
        <f>AE10/AE9*1000</f>
        <v>4174.347826086956</v>
      </c>
      <c r="AF11" s="516">
        <f>AF10/AF9*1000</f>
        <v>6644.3674176776422</v>
      </c>
      <c r="AG11" s="512">
        <f t="shared" si="7"/>
        <v>59.2</v>
      </c>
      <c r="AH11" s="516">
        <f>AH10/AH9*1000</f>
        <v>4190.4261340664671</v>
      </c>
      <c r="AI11" s="514">
        <f t="shared" ref="AI11" si="16">AI10/AI9*1000</f>
        <v>6231.0251611561653</v>
      </c>
      <c r="AJ11" s="512">
        <f t="shared" si="8"/>
        <v>48.7</v>
      </c>
    </row>
    <row r="12" spans="1:36" ht="22.5" customHeight="1">
      <c r="A12" s="668"/>
      <c r="B12" s="752" t="s">
        <v>11</v>
      </c>
      <c r="C12" s="755">
        <v>7404</v>
      </c>
      <c r="D12" s="695" t="s">
        <v>569</v>
      </c>
      <c r="E12" s="413">
        <v>82296</v>
      </c>
      <c r="F12" s="199">
        <v>96775</v>
      </c>
      <c r="G12" s="176">
        <v>77824</v>
      </c>
      <c r="H12" s="404">
        <v>78452</v>
      </c>
      <c r="I12" s="503">
        <v>65652</v>
      </c>
      <c r="J12" s="503">
        <v>5141</v>
      </c>
      <c r="K12" s="503">
        <v>3883</v>
      </c>
      <c r="L12" s="513">
        <f t="shared" si="0"/>
        <v>-24.5</v>
      </c>
      <c r="M12" s="607">
        <f>P12-J12</f>
        <v>3339</v>
      </c>
      <c r="N12" s="607">
        <f>Q12-K12</f>
        <v>4372</v>
      </c>
      <c r="O12" s="513">
        <f t="shared" si="1"/>
        <v>30.9</v>
      </c>
      <c r="P12" s="503">
        <v>8480</v>
      </c>
      <c r="Q12" s="503">
        <v>8255</v>
      </c>
      <c r="R12" s="513">
        <f t="shared" si="2"/>
        <v>-2.7</v>
      </c>
      <c r="S12" s="607">
        <f>V12-P12</f>
        <v>3736</v>
      </c>
      <c r="T12" s="607">
        <f>W12-Q12</f>
        <v>10636</v>
      </c>
      <c r="U12" s="513">
        <f t="shared" si="3"/>
        <v>184.7</v>
      </c>
      <c r="V12" s="503">
        <v>12216</v>
      </c>
      <c r="W12" s="607">
        <v>18891</v>
      </c>
      <c r="X12" s="513">
        <f t="shared" si="4"/>
        <v>54.6</v>
      </c>
      <c r="Y12" s="607">
        <f>AB12-V12</f>
        <v>1985</v>
      </c>
      <c r="Z12" s="607">
        <f>AC12-W12</f>
        <v>13348</v>
      </c>
      <c r="AA12" s="513">
        <f t="shared" si="5"/>
        <v>572.4</v>
      </c>
      <c r="AB12" s="503">
        <v>14201</v>
      </c>
      <c r="AC12" s="607">
        <v>32239</v>
      </c>
      <c r="AD12" s="513">
        <f t="shared" si="6"/>
        <v>127</v>
      </c>
      <c r="AE12" s="607">
        <f>AH12-AB12</f>
        <v>4048</v>
      </c>
      <c r="AF12" s="607">
        <f>AI12-AC12</f>
        <v>10547</v>
      </c>
      <c r="AG12" s="513">
        <f t="shared" si="7"/>
        <v>160.5</v>
      </c>
      <c r="AH12" s="503">
        <v>18249</v>
      </c>
      <c r="AI12" s="607">
        <v>42786</v>
      </c>
      <c r="AJ12" s="513">
        <f t="shared" si="8"/>
        <v>134.5</v>
      </c>
    </row>
    <row r="13" spans="1:36" ht="22.5" customHeight="1">
      <c r="A13" s="668"/>
      <c r="B13" s="753"/>
      <c r="C13" s="756"/>
      <c r="D13" s="665" t="s">
        <v>8</v>
      </c>
      <c r="E13" s="411">
        <v>122410</v>
      </c>
      <c r="F13" s="196">
        <v>116910</v>
      </c>
      <c r="G13" s="174">
        <v>105269</v>
      </c>
      <c r="H13" s="401">
        <v>119970</v>
      </c>
      <c r="I13" s="606">
        <v>86431</v>
      </c>
      <c r="J13" s="606">
        <v>4625</v>
      </c>
      <c r="K13" s="606">
        <v>4650</v>
      </c>
      <c r="L13" s="505">
        <f t="shared" si="0"/>
        <v>0.5</v>
      </c>
      <c r="M13" s="606">
        <f>P13-J13</f>
        <v>4329</v>
      </c>
      <c r="N13" s="606">
        <f>Q13-K13</f>
        <v>5644</v>
      </c>
      <c r="O13" s="505">
        <f t="shared" si="1"/>
        <v>30.4</v>
      </c>
      <c r="P13" s="606">
        <v>8954</v>
      </c>
      <c r="Q13" s="606">
        <v>10294</v>
      </c>
      <c r="R13" s="505">
        <f t="shared" si="2"/>
        <v>15</v>
      </c>
      <c r="S13" s="606">
        <f>V13-P13</f>
        <v>4938</v>
      </c>
      <c r="T13" s="606">
        <f>W13-Q13</f>
        <v>14581</v>
      </c>
      <c r="U13" s="505">
        <f t="shared" si="3"/>
        <v>195.3</v>
      </c>
      <c r="V13" s="606">
        <v>13892</v>
      </c>
      <c r="W13" s="606">
        <v>24875</v>
      </c>
      <c r="X13" s="505">
        <f t="shared" si="4"/>
        <v>79.099999999999994</v>
      </c>
      <c r="Y13" s="606">
        <f>AB13-V13</f>
        <v>3735</v>
      </c>
      <c r="Z13" s="606">
        <f>AC13-W13</f>
        <v>21823</v>
      </c>
      <c r="AA13" s="505">
        <f t="shared" si="5"/>
        <v>484.3</v>
      </c>
      <c r="AB13" s="606">
        <v>17627</v>
      </c>
      <c r="AC13" s="606">
        <v>46698</v>
      </c>
      <c r="AD13" s="505">
        <f t="shared" si="6"/>
        <v>164.9</v>
      </c>
      <c r="AE13" s="606">
        <f>AH13-AB13</f>
        <v>5279</v>
      </c>
      <c r="AF13" s="606">
        <f>AI13-AC13</f>
        <v>16040</v>
      </c>
      <c r="AG13" s="505">
        <f t="shared" si="7"/>
        <v>203.8</v>
      </c>
      <c r="AH13" s="606">
        <v>22906</v>
      </c>
      <c r="AI13" s="606">
        <v>62738</v>
      </c>
      <c r="AJ13" s="505">
        <f t="shared" si="8"/>
        <v>173.9</v>
      </c>
    </row>
    <row r="14" spans="1:36" ht="22.5" customHeight="1">
      <c r="A14" s="668"/>
      <c r="B14" s="754"/>
      <c r="C14" s="757"/>
      <c r="D14" s="667" t="s">
        <v>9</v>
      </c>
      <c r="E14" s="412">
        <f t="shared" ref="E14:G14" si="17">E13/E12*1000</f>
        <v>1487.4355983279868</v>
      </c>
      <c r="F14" s="197">
        <f t="shared" si="17"/>
        <v>1208.0599328338931</v>
      </c>
      <c r="G14" s="175">
        <f t="shared" si="17"/>
        <v>1352.6547080592106</v>
      </c>
      <c r="H14" s="402">
        <f>H13/H12*1000</f>
        <v>1529.2153163717944</v>
      </c>
      <c r="I14" s="516">
        <f>I13/I12*1000</f>
        <v>1316.5021629196369</v>
      </c>
      <c r="J14" s="516">
        <f>J13/J12*1000</f>
        <v>899.6304220968683</v>
      </c>
      <c r="K14" s="516">
        <f>K13/K12*1000</f>
        <v>1197.5276847798095</v>
      </c>
      <c r="L14" s="512">
        <f t="shared" si="0"/>
        <v>33.1</v>
      </c>
      <c r="M14" s="516">
        <f>M13/M12*1000</f>
        <v>1296.4959568733154</v>
      </c>
      <c r="N14" s="516">
        <f>N13/N12*1000</f>
        <v>1290.9423604757549</v>
      </c>
      <c r="O14" s="512">
        <f t="shared" si="1"/>
        <v>-0.4</v>
      </c>
      <c r="P14" s="516">
        <f>P13/P12*1000</f>
        <v>1055.8962264150944</v>
      </c>
      <c r="Q14" s="516">
        <f>Q13/Q12*1000</f>
        <v>1247.0018170805572</v>
      </c>
      <c r="R14" s="512">
        <f t="shared" si="2"/>
        <v>18.100000000000001</v>
      </c>
      <c r="S14" s="516">
        <f>S13/S12*1000</f>
        <v>1321.7344753747325</v>
      </c>
      <c r="T14" s="516">
        <f>T13/T12*1000</f>
        <v>1370.9101165851825</v>
      </c>
      <c r="U14" s="512">
        <f t="shared" si="3"/>
        <v>3.7</v>
      </c>
      <c r="V14" s="516">
        <f>V13/V12*1000</f>
        <v>1137.1971185330713</v>
      </c>
      <c r="W14" s="514">
        <f t="shared" ref="W14" si="18">W13/W12*1000</f>
        <v>1316.7645968979937</v>
      </c>
      <c r="X14" s="512">
        <f t="shared" si="4"/>
        <v>15.8</v>
      </c>
      <c r="Y14" s="516">
        <f>Y13/Y12*1000</f>
        <v>1881.6120906801009</v>
      </c>
      <c r="Z14" s="516">
        <f>Z13/Z12*1000</f>
        <v>1634.9265807611628</v>
      </c>
      <c r="AA14" s="512">
        <f t="shared" si="5"/>
        <v>-13.1</v>
      </c>
      <c r="AB14" s="516">
        <f>AB13/AB12*1000</f>
        <v>1241.250616153792</v>
      </c>
      <c r="AC14" s="514">
        <f t="shared" ref="AC14" si="19">AC13/AC12*1000</f>
        <v>1448.4940599894537</v>
      </c>
      <c r="AD14" s="512">
        <f t="shared" si="6"/>
        <v>16.7</v>
      </c>
      <c r="AE14" s="516">
        <f>AE13/AE12*1000</f>
        <v>1304.100790513834</v>
      </c>
      <c r="AF14" s="516">
        <f>AF13/AF12*1000</f>
        <v>1520.8116051957902</v>
      </c>
      <c r="AG14" s="512">
        <f t="shared" si="7"/>
        <v>16.600000000000001</v>
      </c>
      <c r="AH14" s="516">
        <f>AH13/AH12*1000</f>
        <v>1255.1920653186478</v>
      </c>
      <c r="AI14" s="514">
        <f t="shared" ref="AI14" si="20">AI13/AI12*1000</f>
        <v>1466.3207591268172</v>
      </c>
      <c r="AJ14" s="512">
        <f t="shared" si="8"/>
        <v>16.8</v>
      </c>
    </row>
    <row r="15" spans="1:36" ht="22.5" customHeight="1">
      <c r="A15" s="668" t="s">
        <v>12</v>
      </c>
      <c r="B15" s="752" t="s">
        <v>13</v>
      </c>
      <c r="C15" s="755">
        <v>7407</v>
      </c>
      <c r="D15" s="695" t="s">
        <v>569</v>
      </c>
      <c r="E15" s="413">
        <v>40345</v>
      </c>
      <c r="F15" s="199">
        <v>52182</v>
      </c>
      <c r="G15" s="176">
        <v>54931</v>
      </c>
      <c r="H15" s="404">
        <v>49199</v>
      </c>
      <c r="I15" s="503">
        <v>52031</v>
      </c>
      <c r="J15" s="503">
        <v>3968</v>
      </c>
      <c r="K15" s="503">
        <v>4245</v>
      </c>
      <c r="L15" s="513">
        <f t="shared" si="0"/>
        <v>7</v>
      </c>
      <c r="M15" s="607">
        <f>P15-J15</f>
        <v>4325</v>
      </c>
      <c r="N15" s="607">
        <f>Q15-K15</f>
        <v>4497</v>
      </c>
      <c r="O15" s="513">
        <f t="shared" si="1"/>
        <v>4</v>
      </c>
      <c r="P15" s="503">
        <v>8293</v>
      </c>
      <c r="Q15" s="503">
        <v>8742</v>
      </c>
      <c r="R15" s="513">
        <f t="shared" si="2"/>
        <v>5.4</v>
      </c>
      <c r="S15" s="607">
        <f>V15-P15</f>
        <v>4522</v>
      </c>
      <c r="T15" s="607">
        <f>W15-Q15</f>
        <v>4341</v>
      </c>
      <c r="U15" s="513">
        <f t="shared" si="3"/>
        <v>-4</v>
      </c>
      <c r="V15" s="503">
        <v>12815</v>
      </c>
      <c r="W15" s="607">
        <v>13083</v>
      </c>
      <c r="X15" s="513">
        <f t="shared" si="4"/>
        <v>2.1</v>
      </c>
      <c r="Y15" s="607">
        <f>AB15-V15</f>
        <v>4503</v>
      </c>
      <c r="Z15" s="607">
        <f>AC15-W15</f>
        <v>4878</v>
      </c>
      <c r="AA15" s="513">
        <f t="shared" si="5"/>
        <v>8.3000000000000007</v>
      </c>
      <c r="AB15" s="503">
        <v>17318</v>
      </c>
      <c r="AC15" s="607">
        <v>17961</v>
      </c>
      <c r="AD15" s="513">
        <f t="shared" si="6"/>
        <v>3.7</v>
      </c>
      <c r="AE15" s="607">
        <f>AH15-AB15</f>
        <v>3767</v>
      </c>
      <c r="AF15" s="607">
        <f>AI15-AC15</f>
        <v>4266</v>
      </c>
      <c r="AG15" s="513">
        <f t="shared" si="7"/>
        <v>13.2</v>
      </c>
      <c r="AH15" s="503">
        <v>21085</v>
      </c>
      <c r="AI15" s="607">
        <v>22227</v>
      </c>
      <c r="AJ15" s="513">
        <f t="shared" si="8"/>
        <v>5.4</v>
      </c>
    </row>
    <row r="16" spans="1:36" ht="22.5" customHeight="1">
      <c r="A16" s="668" t="s">
        <v>12</v>
      </c>
      <c r="B16" s="753"/>
      <c r="C16" s="756"/>
      <c r="D16" s="665" t="s">
        <v>8</v>
      </c>
      <c r="E16" s="411">
        <v>184532</v>
      </c>
      <c r="F16" s="196">
        <v>286211</v>
      </c>
      <c r="G16" s="174">
        <v>328150</v>
      </c>
      <c r="H16" s="401">
        <v>275843</v>
      </c>
      <c r="I16" s="606">
        <v>272204</v>
      </c>
      <c r="J16" s="606">
        <v>20906</v>
      </c>
      <c r="K16" s="606">
        <v>26125</v>
      </c>
      <c r="L16" s="505">
        <f t="shared" si="0"/>
        <v>25</v>
      </c>
      <c r="M16" s="606">
        <f>P16-J16</f>
        <v>23283</v>
      </c>
      <c r="N16" s="606">
        <f>Q16-K16</f>
        <v>28873</v>
      </c>
      <c r="O16" s="505">
        <f t="shared" si="1"/>
        <v>24</v>
      </c>
      <c r="P16" s="606">
        <v>44189</v>
      </c>
      <c r="Q16" s="606">
        <v>54998</v>
      </c>
      <c r="R16" s="505">
        <f t="shared" si="2"/>
        <v>24.5</v>
      </c>
      <c r="S16" s="606">
        <f>V16-P16</f>
        <v>23667</v>
      </c>
      <c r="T16" s="606">
        <f>W16-Q16</f>
        <v>29325</v>
      </c>
      <c r="U16" s="505">
        <f t="shared" si="3"/>
        <v>23.9</v>
      </c>
      <c r="V16" s="606">
        <v>67856</v>
      </c>
      <c r="W16" s="606">
        <v>84323</v>
      </c>
      <c r="X16" s="505">
        <f t="shared" si="4"/>
        <v>24.3</v>
      </c>
      <c r="Y16" s="606">
        <f>AB16-V16</f>
        <v>21580</v>
      </c>
      <c r="Z16" s="606">
        <f>AC16-W16</f>
        <v>34099</v>
      </c>
      <c r="AA16" s="505">
        <f t="shared" si="5"/>
        <v>58</v>
      </c>
      <c r="AB16" s="606">
        <v>89436</v>
      </c>
      <c r="AC16" s="606">
        <v>118422</v>
      </c>
      <c r="AD16" s="505">
        <f t="shared" si="6"/>
        <v>32.4</v>
      </c>
      <c r="AE16" s="606">
        <f>AH16-AB16</f>
        <v>17755</v>
      </c>
      <c r="AF16" s="606">
        <f>AI16-AC16</f>
        <v>31376</v>
      </c>
      <c r="AG16" s="505">
        <f t="shared" si="7"/>
        <v>76.7</v>
      </c>
      <c r="AH16" s="606">
        <v>107191</v>
      </c>
      <c r="AI16" s="606">
        <v>149798</v>
      </c>
      <c r="AJ16" s="505">
        <f t="shared" si="8"/>
        <v>39.700000000000003</v>
      </c>
    </row>
    <row r="17" spans="1:36" ht="22.5" customHeight="1">
      <c r="A17" s="668"/>
      <c r="B17" s="754"/>
      <c r="C17" s="757"/>
      <c r="D17" s="667" t="s">
        <v>9</v>
      </c>
      <c r="E17" s="412">
        <f t="shared" ref="E17:G17" si="21">E16/E15*1000</f>
        <v>4573.8505391002609</v>
      </c>
      <c r="F17" s="197">
        <f t="shared" si="21"/>
        <v>5484.8606799279441</v>
      </c>
      <c r="G17" s="175">
        <f t="shared" si="21"/>
        <v>5973.8581129052818</v>
      </c>
      <c r="H17" s="402">
        <f>H16/H15*1000</f>
        <v>5606.6789975406009</v>
      </c>
      <c r="I17" s="516">
        <f>I16/I15*1000</f>
        <v>5231.5734850377657</v>
      </c>
      <c r="J17" s="516">
        <f>J16/J15*1000</f>
        <v>5268.6491935483873</v>
      </c>
      <c r="K17" s="516">
        <f>K16/K15*1000</f>
        <v>6154.2991755005887</v>
      </c>
      <c r="L17" s="512">
        <f t="shared" si="0"/>
        <v>16.8</v>
      </c>
      <c r="M17" s="516">
        <f>M16/M15*1000</f>
        <v>5383.3526011560689</v>
      </c>
      <c r="N17" s="516">
        <f>N16/N15*1000</f>
        <v>6420.5025572603963</v>
      </c>
      <c r="O17" s="512">
        <f t="shared" si="1"/>
        <v>19.3</v>
      </c>
      <c r="P17" s="516">
        <f>P16/P15*1000</f>
        <v>5328.4697938020017</v>
      </c>
      <c r="Q17" s="516">
        <f>Q16/Q15*1000</f>
        <v>6291.2377030427815</v>
      </c>
      <c r="R17" s="512">
        <f t="shared" si="2"/>
        <v>18.100000000000001</v>
      </c>
      <c r="S17" s="516">
        <f>S16/S15*1000</f>
        <v>5233.7461300309596</v>
      </c>
      <c r="T17" s="516">
        <f>T16/T15*1000</f>
        <v>6755.3559087767799</v>
      </c>
      <c r="U17" s="512">
        <f t="shared" si="3"/>
        <v>29.1</v>
      </c>
      <c r="V17" s="516">
        <f>V16/V15*1000</f>
        <v>5295.0448692937962</v>
      </c>
      <c r="W17" s="514">
        <f t="shared" ref="W17" si="22">W16/W15*1000</f>
        <v>6445.2342734846752</v>
      </c>
      <c r="X17" s="512">
        <f t="shared" si="4"/>
        <v>21.7</v>
      </c>
      <c r="Y17" s="516">
        <f>Y16/Y15*1000</f>
        <v>4792.3606484565844</v>
      </c>
      <c r="Z17" s="516">
        <f>Z16/Z15*1000</f>
        <v>6990.364903649036</v>
      </c>
      <c r="AA17" s="512">
        <f t="shared" si="5"/>
        <v>45.9</v>
      </c>
      <c r="AB17" s="516">
        <f>AB16/AB15*1000</f>
        <v>5164.3376833352586</v>
      </c>
      <c r="AC17" s="514">
        <f t="shared" ref="AC17" si="23">AC16/AC15*1000</f>
        <v>6593.2854518122604</v>
      </c>
      <c r="AD17" s="512">
        <f t="shared" si="6"/>
        <v>27.7</v>
      </c>
      <c r="AE17" s="516">
        <f>AE16/AE15*1000</f>
        <v>4713.2997079904435</v>
      </c>
      <c r="AF17" s="516">
        <f>AF16/AF15*1000</f>
        <v>7354.8992030004683</v>
      </c>
      <c r="AG17" s="512">
        <f t="shared" si="7"/>
        <v>56</v>
      </c>
      <c r="AH17" s="516">
        <f>AH16/AH15*1000</f>
        <v>5083.7562248043641</v>
      </c>
      <c r="AI17" s="514">
        <f t="shared" ref="AI17" si="24">AI16/AI15*1000</f>
        <v>6739.4610158815849</v>
      </c>
      <c r="AJ17" s="512">
        <f t="shared" si="8"/>
        <v>32.6</v>
      </c>
    </row>
    <row r="18" spans="1:36" ht="22.5" customHeight="1">
      <c r="A18" s="668"/>
      <c r="B18" s="752" t="s">
        <v>14</v>
      </c>
      <c r="C18" s="755">
        <v>7408</v>
      </c>
      <c r="D18" s="695" t="s">
        <v>569</v>
      </c>
      <c r="E18" s="413">
        <v>91334</v>
      </c>
      <c r="F18" s="199">
        <v>104324</v>
      </c>
      <c r="G18" s="176">
        <v>108278</v>
      </c>
      <c r="H18" s="404">
        <v>96401</v>
      </c>
      <c r="I18" s="607">
        <v>80684</v>
      </c>
      <c r="J18" s="503">
        <v>7276</v>
      </c>
      <c r="K18" s="503">
        <v>6710</v>
      </c>
      <c r="L18" s="513">
        <f t="shared" si="0"/>
        <v>-7.8</v>
      </c>
      <c r="M18" s="607">
        <f>P18-J18</f>
        <v>7904</v>
      </c>
      <c r="N18" s="607">
        <f>Q18-K18</f>
        <v>7778</v>
      </c>
      <c r="O18" s="513">
        <f t="shared" si="1"/>
        <v>-1.6</v>
      </c>
      <c r="P18" s="503">
        <v>15180</v>
      </c>
      <c r="Q18" s="503">
        <v>14488</v>
      </c>
      <c r="R18" s="513">
        <f t="shared" si="2"/>
        <v>-4.5999999999999996</v>
      </c>
      <c r="S18" s="607">
        <f>V18-P18</f>
        <v>8701</v>
      </c>
      <c r="T18" s="607">
        <f>W18-Q18</f>
        <v>7064</v>
      </c>
      <c r="U18" s="513">
        <f t="shared" si="3"/>
        <v>-18.8</v>
      </c>
      <c r="V18" s="503">
        <v>23881</v>
      </c>
      <c r="W18" s="607">
        <v>21552</v>
      </c>
      <c r="X18" s="513">
        <f t="shared" si="4"/>
        <v>-9.8000000000000007</v>
      </c>
      <c r="Y18" s="607">
        <f>AB18-V18</f>
        <v>4439</v>
      </c>
      <c r="Z18" s="607">
        <f>AC18-W18</f>
        <v>7541</v>
      </c>
      <c r="AA18" s="513">
        <f t="shared" si="5"/>
        <v>69.900000000000006</v>
      </c>
      <c r="AB18" s="503">
        <v>28320</v>
      </c>
      <c r="AC18" s="607">
        <v>29093</v>
      </c>
      <c r="AD18" s="513">
        <f t="shared" si="6"/>
        <v>2.7</v>
      </c>
      <c r="AE18" s="607">
        <f>AH18-AB18</f>
        <v>3818</v>
      </c>
      <c r="AF18" s="607">
        <f>AI18-AC18</f>
        <v>6903</v>
      </c>
      <c r="AG18" s="513">
        <f t="shared" si="7"/>
        <v>80.8</v>
      </c>
      <c r="AH18" s="503">
        <v>32138</v>
      </c>
      <c r="AI18" s="607">
        <v>35996</v>
      </c>
      <c r="AJ18" s="513">
        <f t="shared" si="8"/>
        <v>12</v>
      </c>
    </row>
    <row r="19" spans="1:36" ht="22.5" customHeight="1">
      <c r="A19" s="668"/>
      <c r="B19" s="753"/>
      <c r="C19" s="756"/>
      <c r="D19" s="665" t="s">
        <v>8</v>
      </c>
      <c r="E19" s="411">
        <v>518270</v>
      </c>
      <c r="F19" s="196">
        <v>687401</v>
      </c>
      <c r="G19" s="174">
        <v>760853</v>
      </c>
      <c r="H19" s="401">
        <v>645233</v>
      </c>
      <c r="I19" s="606">
        <v>556407</v>
      </c>
      <c r="J19" s="606">
        <v>49179</v>
      </c>
      <c r="K19" s="606">
        <v>55940</v>
      </c>
      <c r="L19" s="505">
        <f t="shared" si="0"/>
        <v>13.7</v>
      </c>
      <c r="M19" s="606">
        <f>P19-J19</f>
        <v>51772</v>
      </c>
      <c r="N19" s="606">
        <f>Q19-K19</f>
        <v>65658</v>
      </c>
      <c r="O19" s="505">
        <f t="shared" si="1"/>
        <v>26.8</v>
      </c>
      <c r="P19" s="606">
        <v>100951</v>
      </c>
      <c r="Q19" s="606">
        <v>121598</v>
      </c>
      <c r="R19" s="505">
        <f t="shared" si="2"/>
        <v>20.5</v>
      </c>
      <c r="S19" s="606">
        <f>V19-P19</f>
        <v>56239</v>
      </c>
      <c r="T19" s="606">
        <f>W19-Q19</f>
        <v>67927</v>
      </c>
      <c r="U19" s="505">
        <f t="shared" si="3"/>
        <v>20.8</v>
      </c>
      <c r="V19" s="606">
        <v>157190</v>
      </c>
      <c r="W19" s="606">
        <v>189525</v>
      </c>
      <c r="X19" s="505">
        <f t="shared" si="4"/>
        <v>20.6</v>
      </c>
      <c r="Y19" s="606">
        <f>AB19-V19</f>
        <v>29590</v>
      </c>
      <c r="Z19" s="606">
        <f>AC19-W19</f>
        <v>68452</v>
      </c>
      <c r="AA19" s="505">
        <f t="shared" si="5"/>
        <v>131.30000000000001</v>
      </c>
      <c r="AB19" s="606">
        <v>186780</v>
      </c>
      <c r="AC19" s="606">
        <v>257977</v>
      </c>
      <c r="AD19" s="505">
        <f t="shared" si="6"/>
        <v>38.1</v>
      </c>
      <c r="AE19" s="606">
        <f>AH19-AB19</f>
        <v>24730</v>
      </c>
      <c r="AF19" s="606">
        <f>AI19-AC19</f>
        <v>69083</v>
      </c>
      <c r="AG19" s="505">
        <f t="shared" si="7"/>
        <v>179.3</v>
      </c>
      <c r="AH19" s="606">
        <v>211510</v>
      </c>
      <c r="AI19" s="606">
        <v>327060</v>
      </c>
      <c r="AJ19" s="505">
        <f t="shared" si="8"/>
        <v>54.6</v>
      </c>
    </row>
    <row r="20" spans="1:36" ht="22.5" customHeight="1">
      <c r="A20" s="668"/>
      <c r="B20" s="754"/>
      <c r="C20" s="757"/>
      <c r="D20" s="667" t="s">
        <v>9</v>
      </c>
      <c r="E20" s="412">
        <f t="shared" ref="E20:G20" si="25">E19/E18*1000</f>
        <v>5674.4476317691115</v>
      </c>
      <c r="F20" s="197">
        <f t="shared" si="25"/>
        <v>6589.097427245888</v>
      </c>
      <c r="G20" s="175">
        <f t="shared" si="25"/>
        <v>7026.8475590609351</v>
      </c>
      <c r="H20" s="402">
        <f>H19/H18*1000</f>
        <v>6693.2189500108925</v>
      </c>
      <c r="I20" s="516">
        <f>I19/I18*1000</f>
        <v>6896.1256258985677</v>
      </c>
      <c r="J20" s="516">
        <f>J19/J18*1000</f>
        <v>6759.0709180868607</v>
      </c>
      <c r="K20" s="516">
        <f>K19/K18*1000</f>
        <v>8336.8107302533535</v>
      </c>
      <c r="L20" s="512">
        <f t="shared" si="0"/>
        <v>23.3</v>
      </c>
      <c r="M20" s="516">
        <f>M19/M18*1000</f>
        <v>6550.1012145748991</v>
      </c>
      <c r="N20" s="516">
        <f>N19/N18*1000</f>
        <v>8441.5016713808182</v>
      </c>
      <c r="O20" s="512">
        <f t="shared" si="1"/>
        <v>28.9</v>
      </c>
      <c r="P20" s="516">
        <f>P19/P18*1000</f>
        <v>6650.2635046113301</v>
      </c>
      <c r="Q20" s="516">
        <f>Q19/Q18*1000</f>
        <v>8393.0149088901162</v>
      </c>
      <c r="R20" s="512">
        <f t="shared" si="2"/>
        <v>26.2</v>
      </c>
      <c r="S20" s="516">
        <f>S19/S18*1000</f>
        <v>6463.5099413860471</v>
      </c>
      <c r="T20" s="516">
        <f>T19/T18*1000</f>
        <v>9615.9399773499445</v>
      </c>
      <c r="U20" s="512">
        <f t="shared" si="3"/>
        <v>48.8</v>
      </c>
      <c r="V20" s="516">
        <f>V19/V18*1000</f>
        <v>6582.2201750345466</v>
      </c>
      <c r="W20" s="514">
        <f t="shared" ref="W20" si="26">W19/W18*1000</f>
        <v>8793.847438752784</v>
      </c>
      <c r="X20" s="512">
        <f t="shared" si="4"/>
        <v>33.6</v>
      </c>
      <c r="Y20" s="516">
        <f>Y19/Y18*1000</f>
        <v>6665.9157467898176</v>
      </c>
      <c r="Z20" s="516">
        <f>Z19/Z18*1000</f>
        <v>9077.3107014984744</v>
      </c>
      <c r="AA20" s="512">
        <f t="shared" si="5"/>
        <v>36.200000000000003</v>
      </c>
      <c r="AB20" s="516">
        <f>AB19/AB18*1000</f>
        <v>6595.3389830508477</v>
      </c>
      <c r="AC20" s="514">
        <f t="shared" ref="AC20" si="27">AC19/AC18*1000</f>
        <v>8867.3220362286465</v>
      </c>
      <c r="AD20" s="512">
        <f t="shared" si="6"/>
        <v>34.4</v>
      </c>
      <c r="AE20" s="516">
        <f>AE19/AE18*1000</f>
        <v>6477.213200628602</v>
      </c>
      <c r="AF20" s="516">
        <f>AF19/AF18*1000</f>
        <v>10007.677821237143</v>
      </c>
      <c r="AG20" s="512">
        <f t="shared" si="7"/>
        <v>54.5</v>
      </c>
      <c r="AH20" s="516">
        <f>AH19/AH18*1000</f>
        <v>6581.3056195158379</v>
      </c>
      <c r="AI20" s="514">
        <f t="shared" ref="AI20" si="28">AI19/AI18*1000</f>
        <v>9086.0095566174023</v>
      </c>
      <c r="AJ20" s="512">
        <f t="shared" si="8"/>
        <v>38.1</v>
      </c>
    </row>
    <row r="21" spans="1:36" ht="22.5" customHeight="1">
      <c r="A21" s="668"/>
      <c r="B21" s="752" t="s">
        <v>15</v>
      </c>
      <c r="C21" s="755">
        <v>7409</v>
      </c>
      <c r="D21" s="695" t="s">
        <v>569</v>
      </c>
      <c r="E21" s="413">
        <v>71366</v>
      </c>
      <c r="F21" s="199">
        <v>80702</v>
      </c>
      <c r="G21" s="176">
        <v>82947</v>
      </c>
      <c r="H21" s="404">
        <v>73853</v>
      </c>
      <c r="I21" s="503">
        <v>72070</v>
      </c>
      <c r="J21" s="503">
        <v>5665</v>
      </c>
      <c r="K21" s="503">
        <v>6054</v>
      </c>
      <c r="L21" s="513">
        <f t="shared" si="0"/>
        <v>6.9</v>
      </c>
      <c r="M21" s="607">
        <f>P21-J21</f>
        <v>5811</v>
      </c>
      <c r="N21" s="607">
        <f>Q21-K21</f>
        <v>5698</v>
      </c>
      <c r="O21" s="513">
        <f t="shared" si="1"/>
        <v>-1.9</v>
      </c>
      <c r="P21" s="503">
        <v>11476</v>
      </c>
      <c r="Q21" s="503">
        <v>11752</v>
      </c>
      <c r="R21" s="513">
        <f t="shared" si="2"/>
        <v>2.4</v>
      </c>
      <c r="S21" s="607">
        <f>V21-P21</f>
        <v>7631</v>
      </c>
      <c r="T21" s="607">
        <f>W21-Q21</f>
        <v>7311</v>
      </c>
      <c r="U21" s="513">
        <f t="shared" si="3"/>
        <v>-4.2</v>
      </c>
      <c r="V21" s="503">
        <v>19107</v>
      </c>
      <c r="W21" s="607">
        <v>19063</v>
      </c>
      <c r="X21" s="513">
        <f t="shared" si="4"/>
        <v>-0.2</v>
      </c>
      <c r="Y21" s="607">
        <f>AB21-V21</f>
        <v>5935</v>
      </c>
      <c r="Z21" s="607">
        <f>AC21-W21</f>
        <v>6615</v>
      </c>
      <c r="AA21" s="513">
        <f t="shared" si="5"/>
        <v>11.5</v>
      </c>
      <c r="AB21" s="503">
        <v>25042</v>
      </c>
      <c r="AC21" s="607">
        <v>25678</v>
      </c>
      <c r="AD21" s="513">
        <f t="shared" si="6"/>
        <v>2.5</v>
      </c>
      <c r="AE21" s="607">
        <f>AH21-AB21</f>
        <v>5214</v>
      </c>
      <c r="AF21" s="607">
        <f>AI21-AC21</f>
        <v>6600</v>
      </c>
      <c r="AG21" s="513">
        <f t="shared" si="7"/>
        <v>26.6</v>
      </c>
      <c r="AH21" s="503">
        <v>30256</v>
      </c>
      <c r="AI21" s="607">
        <v>32278</v>
      </c>
      <c r="AJ21" s="513">
        <f t="shared" si="8"/>
        <v>6.7</v>
      </c>
    </row>
    <row r="22" spans="1:36" ht="22.5" customHeight="1">
      <c r="A22" s="668"/>
      <c r="B22" s="753"/>
      <c r="C22" s="756"/>
      <c r="D22" s="665" t="s">
        <v>8</v>
      </c>
      <c r="E22" s="411">
        <v>422317</v>
      </c>
      <c r="F22" s="196">
        <v>576522</v>
      </c>
      <c r="G22" s="174">
        <v>645568</v>
      </c>
      <c r="H22" s="401">
        <v>526077</v>
      </c>
      <c r="I22" s="606">
        <v>517199</v>
      </c>
      <c r="J22" s="606">
        <v>40436</v>
      </c>
      <c r="K22" s="606">
        <v>53198</v>
      </c>
      <c r="L22" s="505">
        <f t="shared" si="0"/>
        <v>31.6</v>
      </c>
      <c r="M22" s="606">
        <f>P22-J22</f>
        <v>41338</v>
      </c>
      <c r="N22" s="606">
        <f>Q22-K22</f>
        <v>50959</v>
      </c>
      <c r="O22" s="505">
        <f t="shared" si="1"/>
        <v>23.3</v>
      </c>
      <c r="P22" s="606">
        <v>81774</v>
      </c>
      <c r="Q22" s="606">
        <v>104157</v>
      </c>
      <c r="R22" s="505">
        <f t="shared" si="2"/>
        <v>27.4</v>
      </c>
      <c r="S22" s="606">
        <f>V22-P22</f>
        <v>53218</v>
      </c>
      <c r="T22" s="606">
        <f>W22-Q22</f>
        <v>64697</v>
      </c>
      <c r="U22" s="505">
        <f t="shared" si="3"/>
        <v>21.6</v>
      </c>
      <c r="V22" s="606">
        <v>134992</v>
      </c>
      <c r="W22" s="606">
        <v>168854</v>
      </c>
      <c r="X22" s="505">
        <f t="shared" si="4"/>
        <v>25.1</v>
      </c>
      <c r="Y22" s="606">
        <f>AB22-V22</f>
        <v>38299</v>
      </c>
      <c r="Z22" s="606">
        <f>AC22-W22</f>
        <v>65032</v>
      </c>
      <c r="AA22" s="505">
        <f t="shared" si="5"/>
        <v>69.8</v>
      </c>
      <c r="AB22" s="606">
        <v>173291</v>
      </c>
      <c r="AC22" s="606">
        <v>233886</v>
      </c>
      <c r="AD22" s="505">
        <f t="shared" si="6"/>
        <v>35</v>
      </c>
      <c r="AE22" s="606">
        <f>AH22-AB22</f>
        <v>34816</v>
      </c>
      <c r="AF22" s="606">
        <f>AI22-AC22</f>
        <v>65793</v>
      </c>
      <c r="AG22" s="505">
        <f t="shared" si="7"/>
        <v>89</v>
      </c>
      <c r="AH22" s="606">
        <v>208107</v>
      </c>
      <c r="AI22" s="606">
        <v>299679</v>
      </c>
      <c r="AJ22" s="505">
        <f t="shared" si="8"/>
        <v>44</v>
      </c>
    </row>
    <row r="23" spans="1:36" ht="22.5" customHeight="1">
      <c r="A23" s="668"/>
      <c r="B23" s="754"/>
      <c r="C23" s="757"/>
      <c r="D23" s="667" t="s">
        <v>9</v>
      </c>
      <c r="E23" s="412">
        <f t="shared" ref="E23:G23" si="29">E22/E21*1000</f>
        <v>5917.6218367289748</v>
      </c>
      <c r="F23" s="197">
        <f t="shared" si="29"/>
        <v>7143.8378231022771</v>
      </c>
      <c r="G23" s="175">
        <f t="shared" si="29"/>
        <v>7782.8975128696629</v>
      </c>
      <c r="H23" s="402">
        <f>H22/H21*1000</f>
        <v>7123.2989858231895</v>
      </c>
      <c r="I23" s="516">
        <f>I22/I21*1000</f>
        <v>7176.3424448452897</v>
      </c>
      <c r="J23" s="516">
        <f>J22/J21*1000</f>
        <v>7137.8640776699031</v>
      </c>
      <c r="K23" s="516">
        <f>K22/K21*1000</f>
        <v>8787.2481004294677</v>
      </c>
      <c r="L23" s="512">
        <f t="shared" si="0"/>
        <v>23.1</v>
      </c>
      <c r="M23" s="516">
        <f>M22/M21*1000</f>
        <v>7113.7497848907242</v>
      </c>
      <c r="N23" s="516">
        <f>N22/N21*1000</f>
        <v>8943.3134433134419</v>
      </c>
      <c r="O23" s="512">
        <f t="shared" si="1"/>
        <v>25.7</v>
      </c>
      <c r="P23" s="516">
        <f>P22/P21*1000</f>
        <v>7125.6535378180552</v>
      </c>
      <c r="Q23" s="516">
        <f>Q22/Q21*1000</f>
        <v>8862.9169503063313</v>
      </c>
      <c r="R23" s="512">
        <f t="shared" si="2"/>
        <v>24.4</v>
      </c>
      <c r="S23" s="516">
        <f>S22/S21*1000</f>
        <v>6973.9221596121088</v>
      </c>
      <c r="T23" s="516">
        <f>T22/T21*1000</f>
        <v>8849.268225960881</v>
      </c>
      <c r="U23" s="512">
        <f t="shared" si="3"/>
        <v>26.9</v>
      </c>
      <c r="V23" s="516">
        <f>V22/V21*1000</f>
        <v>7065.0546919976969</v>
      </c>
      <c r="W23" s="514">
        <f t="shared" ref="W23" si="30">W22/W21*1000</f>
        <v>8857.6824214446842</v>
      </c>
      <c r="X23" s="512">
        <f t="shared" si="4"/>
        <v>25.4</v>
      </c>
      <c r="Y23" s="516">
        <f>Y22/Y21*1000</f>
        <v>6453.0749789385</v>
      </c>
      <c r="Z23" s="516">
        <f>Z22/Z21*1000</f>
        <v>9830.9901738473163</v>
      </c>
      <c r="AA23" s="512">
        <f t="shared" si="5"/>
        <v>52.3</v>
      </c>
      <c r="AB23" s="516">
        <f>AB22/AB21*1000</f>
        <v>6920.0143758485747</v>
      </c>
      <c r="AC23" s="514">
        <f t="shared" ref="AC23" si="31">AC22/AC21*1000</f>
        <v>9108.4196588519353</v>
      </c>
      <c r="AD23" s="512">
        <f t="shared" si="6"/>
        <v>31.6</v>
      </c>
      <c r="AE23" s="516">
        <f>AE22/AE21*1000</f>
        <v>6677.4069812044499</v>
      </c>
      <c r="AF23" s="516">
        <f>AF22/AF21*1000</f>
        <v>9968.636363636364</v>
      </c>
      <c r="AG23" s="512">
        <f t="shared" si="7"/>
        <v>49.3</v>
      </c>
      <c r="AH23" s="516">
        <f>AH22/AH21*1000</f>
        <v>6878.2059756742465</v>
      </c>
      <c r="AI23" s="514">
        <f t="shared" ref="AI23" si="32">AI22/AI21*1000</f>
        <v>9284.3112956193072</v>
      </c>
      <c r="AJ23" s="512">
        <f t="shared" si="8"/>
        <v>35</v>
      </c>
    </row>
    <row r="24" spans="1:36" ht="22.5" customHeight="1">
      <c r="A24" s="668"/>
      <c r="B24" s="752" t="s">
        <v>16</v>
      </c>
      <c r="C24" s="755">
        <v>7410</v>
      </c>
      <c r="D24" s="694" t="s">
        <v>569</v>
      </c>
      <c r="E24" s="414">
        <v>29624</v>
      </c>
      <c r="F24" s="201">
        <v>32581</v>
      </c>
      <c r="G24" s="177">
        <v>34731</v>
      </c>
      <c r="H24" s="520">
        <v>34761</v>
      </c>
      <c r="I24" s="607">
        <v>41205</v>
      </c>
      <c r="J24" s="607">
        <v>2265</v>
      </c>
      <c r="K24" s="607">
        <v>4234</v>
      </c>
      <c r="L24" s="507">
        <f t="shared" si="0"/>
        <v>86.9</v>
      </c>
      <c r="M24" s="607">
        <f>P24-J24</f>
        <v>2409</v>
      </c>
      <c r="N24" s="607">
        <f>Q24-K24</f>
        <v>3623</v>
      </c>
      <c r="O24" s="507">
        <f t="shared" si="1"/>
        <v>50.4</v>
      </c>
      <c r="P24" s="607">
        <v>4674</v>
      </c>
      <c r="Q24" s="607">
        <v>7857</v>
      </c>
      <c r="R24" s="507">
        <f t="shared" si="2"/>
        <v>68.099999999999994</v>
      </c>
      <c r="S24" s="607">
        <f>V24-P24</f>
        <v>3371</v>
      </c>
      <c r="T24" s="607">
        <f>W24-Q24</f>
        <v>4341</v>
      </c>
      <c r="U24" s="507">
        <f t="shared" si="3"/>
        <v>28.8</v>
      </c>
      <c r="V24" s="607">
        <v>8045</v>
      </c>
      <c r="W24" s="607">
        <v>12198</v>
      </c>
      <c r="X24" s="507">
        <f t="shared" si="4"/>
        <v>51.6</v>
      </c>
      <c r="Y24" s="607">
        <f>AB24-V24</f>
        <v>3202</v>
      </c>
      <c r="Z24" s="607">
        <f>AC24-W24</f>
        <v>4293</v>
      </c>
      <c r="AA24" s="507">
        <f t="shared" si="5"/>
        <v>34.1</v>
      </c>
      <c r="AB24" s="607">
        <v>11247</v>
      </c>
      <c r="AC24" s="607">
        <v>16491</v>
      </c>
      <c r="AD24" s="507">
        <f t="shared" si="6"/>
        <v>46.6</v>
      </c>
      <c r="AE24" s="607">
        <f>AH24-AB24</f>
        <v>2721</v>
      </c>
      <c r="AF24" s="607">
        <f>AI24-AC24</f>
        <v>4412</v>
      </c>
      <c r="AG24" s="507">
        <f t="shared" si="7"/>
        <v>62.1</v>
      </c>
      <c r="AH24" s="607">
        <v>13968</v>
      </c>
      <c r="AI24" s="607">
        <v>20903</v>
      </c>
      <c r="AJ24" s="507">
        <f t="shared" si="8"/>
        <v>49.6</v>
      </c>
    </row>
    <row r="25" spans="1:36" ht="22.5" customHeight="1">
      <c r="A25" s="668"/>
      <c r="B25" s="753"/>
      <c r="C25" s="756"/>
      <c r="D25" s="665" t="s">
        <v>8</v>
      </c>
      <c r="E25" s="411">
        <v>424780</v>
      </c>
      <c r="F25" s="196">
        <v>524567</v>
      </c>
      <c r="G25" s="174">
        <v>650746</v>
      </c>
      <c r="H25" s="401">
        <v>680716</v>
      </c>
      <c r="I25" s="606">
        <v>776887</v>
      </c>
      <c r="J25" s="606">
        <v>50492</v>
      </c>
      <c r="K25" s="606">
        <v>79529</v>
      </c>
      <c r="L25" s="505">
        <f t="shared" si="0"/>
        <v>57.5</v>
      </c>
      <c r="M25" s="606">
        <f>P25-J25</f>
        <v>48203</v>
      </c>
      <c r="N25" s="606">
        <f>Q25-K25</f>
        <v>71308</v>
      </c>
      <c r="O25" s="505">
        <f t="shared" si="1"/>
        <v>47.9</v>
      </c>
      <c r="P25" s="606">
        <v>98695</v>
      </c>
      <c r="Q25" s="606">
        <v>150837</v>
      </c>
      <c r="R25" s="505">
        <f t="shared" si="2"/>
        <v>52.8</v>
      </c>
      <c r="S25" s="606">
        <f>V25-P25</f>
        <v>65718</v>
      </c>
      <c r="T25" s="606">
        <f>W25-Q25</f>
        <v>87920</v>
      </c>
      <c r="U25" s="505">
        <f t="shared" si="3"/>
        <v>33.799999999999997</v>
      </c>
      <c r="V25" s="606">
        <v>164413</v>
      </c>
      <c r="W25" s="606">
        <v>238757</v>
      </c>
      <c r="X25" s="505">
        <f t="shared" si="4"/>
        <v>45.2</v>
      </c>
      <c r="Y25" s="606">
        <f>AB25-V25</f>
        <v>59383</v>
      </c>
      <c r="Z25" s="606">
        <f>AC25-W25</f>
        <v>85323</v>
      </c>
      <c r="AA25" s="505">
        <f t="shared" si="5"/>
        <v>43.7</v>
      </c>
      <c r="AB25" s="606">
        <v>223796</v>
      </c>
      <c r="AC25" s="606">
        <v>324080</v>
      </c>
      <c r="AD25" s="505">
        <f t="shared" si="6"/>
        <v>44.8</v>
      </c>
      <c r="AE25" s="606">
        <f>AH25-AB25</f>
        <v>52745</v>
      </c>
      <c r="AF25" s="606">
        <f>AI25-AC25</f>
        <v>97425</v>
      </c>
      <c r="AG25" s="505">
        <f t="shared" si="7"/>
        <v>84.7</v>
      </c>
      <c r="AH25" s="606">
        <v>276541</v>
      </c>
      <c r="AI25" s="606">
        <v>421505</v>
      </c>
      <c r="AJ25" s="505">
        <f t="shared" si="8"/>
        <v>52.4</v>
      </c>
    </row>
    <row r="26" spans="1:36" ht="22.5" customHeight="1">
      <c r="A26" s="668"/>
      <c r="B26" s="754"/>
      <c r="C26" s="757"/>
      <c r="D26" s="667" t="s">
        <v>9</v>
      </c>
      <c r="E26" s="415">
        <f t="shared" ref="E26:G26" si="33">E25/E24*1000</f>
        <v>14339.049419389685</v>
      </c>
      <c r="F26" s="202">
        <f t="shared" si="33"/>
        <v>16100.39593628188</v>
      </c>
      <c r="G26" s="178">
        <f t="shared" si="33"/>
        <v>18736.748150067662</v>
      </c>
      <c r="H26" s="402">
        <f>H25/H24*1000</f>
        <v>19582.750783924515</v>
      </c>
      <c r="I26" s="514">
        <f>I25/I24*1000</f>
        <v>18854.192452372285</v>
      </c>
      <c r="J26" s="514">
        <f>J25/J24*1000</f>
        <v>22292.273730684326</v>
      </c>
      <c r="K26" s="514">
        <f>K25/K24*1000</f>
        <v>18783.419933868681</v>
      </c>
      <c r="L26" s="506">
        <f t="shared" si="0"/>
        <v>-15.7</v>
      </c>
      <c r="M26" s="514">
        <f>M25/M24*1000</f>
        <v>20009.547530095475</v>
      </c>
      <c r="N26" s="514">
        <f>N25/N24*1000</f>
        <v>19682.031465636213</v>
      </c>
      <c r="O26" s="506">
        <f t="shared" si="1"/>
        <v>-1.6</v>
      </c>
      <c r="P26" s="514">
        <f>P25/P24*1000</f>
        <v>21115.746683782629</v>
      </c>
      <c r="Q26" s="514">
        <f>Q25/Q24*1000</f>
        <v>19197.785414280261</v>
      </c>
      <c r="R26" s="506">
        <f t="shared" si="2"/>
        <v>-9.1</v>
      </c>
      <c r="S26" s="514">
        <f>S25/S24*1000</f>
        <v>19495.105309997034</v>
      </c>
      <c r="T26" s="514">
        <f>T25/T24*1000</f>
        <v>20253.39783460032</v>
      </c>
      <c r="U26" s="506">
        <f t="shared" si="3"/>
        <v>3.9</v>
      </c>
      <c r="V26" s="514">
        <f>V25/V24*1000</f>
        <v>20436.668738346802</v>
      </c>
      <c r="W26" s="514">
        <f t="shared" ref="W26" si="34">W25/W24*1000</f>
        <v>19573.454664699133</v>
      </c>
      <c r="X26" s="506">
        <f t="shared" si="4"/>
        <v>-4.2</v>
      </c>
      <c r="Y26" s="514">
        <f>Y25/Y24*1000</f>
        <v>18545.596502186134</v>
      </c>
      <c r="Z26" s="514">
        <f>Z25/Z24*1000</f>
        <v>19874.912648497553</v>
      </c>
      <c r="AA26" s="506">
        <f t="shared" si="5"/>
        <v>7.2</v>
      </c>
      <c r="AB26" s="514">
        <f>AB25/AB24*1000</f>
        <v>19898.283986840936</v>
      </c>
      <c r="AC26" s="514">
        <f t="shared" ref="AC26" si="35">AC25/AC24*1000</f>
        <v>19651.931356497484</v>
      </c>
      <c r="AD26" s="506">
        <f t="shared" si="6"/>
        <v>-1.2</v>
      </c>
      <c r="AE26" s="514">
        <f>AE25/AE24*1000</f>
        <v>19384.417493568541</v>
      </c>
      <c r="AF26" s="514">
        <f>AF25/AF24*1000</f>
        <v>22081.822302810517</v>
      </c>
      <c r="AG26" s="506">
        <f t="shared" si="7"/>
        <v>13.9</v>
      </c>
      <c r="AH26" s="514">
        <f>AH25/AH24*1000</f>
        <v>19798.181557846503</v>
      </c>
      <c r="AI26" s="514">
        <f t="shared" ref="AI26" si="36">AI25/AI24*1000</f>
        <v>20164.808879108259</v>
      </c>
      <c r="AJ26" s="506">
        <f t="shared" si="8"/>
        <v>1.9</v>
      </c>
    </row>
    <row r="27" spans="1:36" ht="22.5" customHeight="1">
      <c r="A27" s="668"/>
      <c r="B27" s="752" t="s">
        <v>17</v>
      </c>
      <c r="C27" s="755">
        <v>7411</v>
      </c>
      <c r="D27" s="694" t="s">
        <v>569</v>
      </c>
      <c r="E27" s="414">
        <v>48516</v>
      </c>
      <c r="F27" s="201">
        <v>48036</v>
      </c>
      <c r="G27" s="177">
        <v>44820</v>
      </c>
      <c r="H27" s="520">
        <v>42479</v>
      </c>
      <c r="I27" s="607">
        <v>40116</v>
      </c>
      <c r="J27" s="607">
        <v>3084</v>
      </c>
      <c r="K27" s="607">
        <v>3325</v>
      </c>
      <c r="L27" s="507">
        <f t="shared" si="0"/>
        <v>7.8</v>
      </c>
      <c r="M27" s="607">
        <f>P27-J27</f>
        <v>3649</v>
      </c>
      <c r="N27" s="607">
        <f>Q27-K27</f>
        <v>3260</v>
      </c>
      <c r="O27" s="507">
        <f t="shared" si="1"/>
        <v>-10.7</v>
      </c>
      <c r="P27" s="607">
        <v>6733</v>
      </c>
      <c r="Q27" s="607">
        <v>6585</v>
      </c>
      <c r="R27" s="507">
        <f t="shared" si="2"/>
        <v>-2.2000000000000002</v>
      </c>
      <c r="S27" s="607">
        <f>V27-P27</f>
        <v>4103</v>
      </c>
      <c r="T27" s="607">
        <f>W27-Q27</f>
        <v>3983</v>
      </c>
      <c r="U27" s="507">
        <f t="shared" si="3"/>
        <v>-2.9</v>
      </c>
      <c r="V27" s="607">
        <v>10836</v>
      </c>
      <c r="W27" s="607">
        <v>10568</v>
      </c>
      <c r="X27" s="507">
        <f t="shared" si="4"/>
        <v>-2.5</v>
      </c>
      <c r="Y27" s="607">
        <f>AB27-V27</f>
        <v>3454</v>
      </c>
      <c r="Z27" s="607">
        <f>AC27-W27</f>
        <v>3760</v>
      </c>
      <c r="AA27" s="507">
        <f t="shared" si="5"/>
        <v>8.9</v>
      </c>
      <c r="AB27" s="607">
        <v>14290</v>
      </c>
      <c r="AC27" s="607">
        <v>14328</v>
      </c>
      <c r="AD27" s="507">
        <f t="shared" si="6"/>
        <v>0.3</v>
      </c>
      <c r="AE27" s="607">
        <f>AH27-AB27</f>
        <v>2722</v>
      </c>
      <c r="AF27" s="607">
        <f>AI27-AC27</f>
        <v>3480</v>
      </c>
      <c r="AG27" s="507">
        <f t="shared" si="7"/>
        <v>27.8</v>
      </c>
      <c r="AH27" s="607">
        <v>17012</v>
      </c>
      <c r="AI27" s="607">
        <v>17808</v>
      </c>
      <c r="AJ27" s="507">
        <f t="shared" si="8"/>
        <v>4.7</v>
      </c>
    </row>
    <row r="28" spans="1:36" ht="22.5" customHeight="1">
      <c r="A28" s="668"/>
      <c r="B28" s="753"/>
      <c r="C28" s="756"/>
      <c r="D28" s="665" t="s">
        <v>8</v>
      </c>
      <c r="E28" s="411">
        <v>308688</v>
      </c>
      <c r="F28" s="196">
        <v>353775</v>
      </c>
      <c r="G28" s="174">
        <v>355679</v>
      </c>
      <c r="H28" s="401">
        <v>321454</v>
      </c>
      <c r="I28" s="606">
        <v>305038</v>
      </c>
      <c r="J28" s="606">
        <v>22866</v>
      </c>
      <c r="K28" s="606">
        <v>29241</v>
      </c>
      <c r="L28" s="505">
        <f t="shared" si="0"/>
        <v>27.9</v>
      </c>
      <c r="M28" s="606">
        <f>P28-J28</f>
        <v>27602</v>
      </c>
      <c r="N28" s="606">
        <f>Q28-K28</f>
        <v>-13245</v>
      </c>
      <c r="O28" s="505">
        <f t="shared" si="1"/>
        <v>-148</v>
      </c>
      <c r="P28" s="606">
        <v>50468</v>
      </c>
      <c r="Q28" s="606">
        <v>15996</v>
      </c>
      <c r="R28" s="505">
        <f t="shared" si="2"/>
        <v>-68.3</v>
      </c>
      <c r="S28" s="606">
        <f>V28-P28</f>
        <v>29471</v>
      </c>
      <c r="T28" s="606">
        <f>W28-Q28</f>
        <v>82296</v>
      </c>
      <c r="U28" s="505">
        <f t="shared" si="3"/>
        <v>179.2</v>
      </c>
      <c r="V28" s="606">
        <v>79939</v>
      </c>
      <c r="W28" s="606">
        <v>98292</v>
      </c>
      <c r="X28" s="505">
        <f t="shared" si="4"/>
        <v>23</v>
      </c>
      <c r="Y28" s="606">
        <f>AB28-V28</f>
        <v>23197</v>
      </c>
      <c r="Z28" s="606">
        <f>AC28-W28</f>
        <v>39187</v>
      </c>
      <c r="AA28" s="505">
        <f t="shared" si="5"/>
        <v>68.900000000000006</v>
      </c>
      <c r="AB28" s="606">
        <v>103136</v>
      </c>
      <c r="AC28" s="606">
        <v>137479</v>
      </c>
      <c r="AD28" s="505">
        <f t="shared" si="6"/>
        <v>33.299999999999997</v>
      </c>
      <c r="AE28" s="606">
        <f>AH28-AB28</f>
        <v>18757</v>
      </c>
      <c r="AF28" s="606">
        <f>AI28-AC28</f>
        <v>38273</v>
      </c>
      <c r="AG28" s="505">
        <f t="shared" si="7"/>
        <v>104</v>
      </c>
      <c r="AH28" s="606">
        <v>121893</v>
      </c>
      <c r="AI28" s="606">
        <v>175752</v>
      </c>
      <c r="AJ28" s="505">
        <f t="shared" si="8"/>
        <v>44.2</v>
      </c>
    </row>
    <row r="29" spans="1:36" ht="22.5" customHeight="1">
      <c r="A29" s="668"/>
      <c r="B29" s="754"/>
      <c r="C29" s="757"/>
      <c r="D29" s="667" t="s">
        <v>9</v>
      </c>
      <c r="E29" s="415">
        <f t="shared" ref="E29:G29" si="37">E28/E27*1000</f>
        <v>6362.602028196884</v>
      </c>
      <c r="F29" s="202">
        <f t="shared" si="37"/>
        <v>7364.7889083187601</v>
      </c>
      <c r="G29" s="178">
        <f t="shared" si="37"/>
        <v>7935.7206604194562</v>
      </c>
      <c r="H29" s="402">
        <f>H28/H27*1000</f>
        <v>7567.3626968619792</v>
      </c>
      <c r="I29" s="514">
        <f>I28/I27*1000</f>
        <v>7603.8986937880145</v>
      </c>
      <c r="J29" s="514">
        <f>J28/J27*1000</f>
        <v>7414.3968871595334</v>
      </c>
      <c r="K29" s="514">
        <f>K28/K27*1000</f>
        <v>8794.2857142857138</v>
      </c>
      <c r="L29" s="506">
        <f t="shared" si="0"/>
        <v>18.600000000000001</v>
      </c>
      <c r="M29" s="514">
        <f>M28/M27*1000</f>
        <v>7564.2641819676628</v>
      </c>
      <c r="N29" s="514">
        <f>N28/N27*1000</f>
        <v>-4062.8834355828226</v>
      </c>
      <c r="O29" s="506">
        <f t="shared" si="1"/>
        <v>-153.69999999999999</v>
      </c>
      <c r="P29" s="514">
        <f>P28/P27*1000</f>
        <v>7495.6185949799492</v>
      </c>
      <c r="Q29" s="514">
        <f>Q28/Q27*1000</f>
        <v>2429.1571753986336</v>
      </c>
      <c r="R29" s="506">
        <f t="shared" si="2"/>
        <v>-67.599999999999994</v>
      </c>
      <c r="S29" s="514">
        <f>S28/S27*1000</f>
        <v>7182.7930782354379</v>
      </c>
      <c r="T29" s="514">
        <f>T28/T27*1000</f>
        <v>20661.812703991967</v>
      </c>
      <c r="U29" s="506">
        <f t="shared" si="3"/>
        <v>187.7</v>
      </c>
      <c r="V29" s="514">
        <f>V28/V27*1000</f>
        <v>7377.168696936139</v>
      </c>
      <c r="W29" s="514">
        <f t="shared" ref="W29" si="38">W28/W27*1000</f>
        <v>9300.9084027252084</v>
      </c>
      <c r="X29" s="506">
        <f t="shared" si="4"/>
        <v>26.1</v>
      </c>
      <c r="Y29" s="514">
        <f>Y28/Y27*1000</f>
        <v>6715.981470758541</v>
      </c>
      <c r="Z29" s="514">
        <f>Z28/Z27*1000</f>
        <v>10422.074468085108</v>
      </c>
      <c r="AA29" s="506">
        <f t="shared" si="5"/>
        <v>55.2</v>
      </c>
      <c r="AB29" s="514">
        <f>AB28/AB27*1000</f>
        <v>7217.3547935619308</v>
      </c>
      <c r="AC29" s="514">
        <f t="shared" ref="AC29" si="39">AC28/AC27*1000</f>
        <v>9595.1284198771627</v>
      </c>
      <c r="AD29" s="506">
        <f t="shared" si="6"/>
        <v>32.9</v>
      </c>
      <c r="AE29" s="514">
        <f>AE28/AE27*1000</f>
        <v>6890.8890521675239</v>
      </c>
      <c r="AF29" s="514">
        <f>AF28/AF27*1000</f>
        <v>10997.988505747127</v>
      </c>
      <c r="AG29" s="506">
        <f t="shared" si="7"/>
        <v>59.6</v>
      </c>
      <c r="AH29" s="514">
        <f>AH28/AH27*1000</f>
        <v>7165.1187397131434</v>
      </c>
      <c r="AI29" s="514">
        <f t="shared" ref="AI29" si="40">AI28/AI27*1000</f>
        <v>9869.2722371967666</v>
      </c>
      <c r="AJ29" s="506">
        <f t="shared" si="8"/>
        <v>37.700000000000003</v>
      </c>
    </row>
    <row r="30" spans="1:36" ht="22.5" customHeight="1">
      <c r="A30" s="668"/>
      <c r="B30" s="752" t="s">
        <v>18</v>
      </c>
      <c r="C30" s="755"/>
      <c r="D30" s="694" t="s">
        <v>569</v>
      </c>
      <c r="E30" s="414">
        <f t="shared" ref="E30:H31" si="41">E33-SUM(E6+E9+E12+E15+E18+E21+E24+E27)</f>
        <v>54342</v>
      </c>
      <c r="F30" s="201">
        <f t="shared" si="41"/>
        <v>42745</v>
      </c>
      <c r="G30" s="177">
        <f t="shared" si="41"/>
        <v>44907</v>
      </c>
      <c r="H30" s="520">
        <f t="shared" si="41"/>
        <v>39553</v>
      </c>
      <c r="I30" s="607">
        <f>I33-SUM(I6+I9+I12+I15+I18+I21+I24+I27)</f>
        <v>68964</v>
      </c>
      <c r="J30" s="607">
        <f t="shared" ref="J30:K30" si="42">J33-SUM(J6+J9+J12+J15+J18+J21+J24+J27)</f>
        <v>4941</v>
      </c>
      <c r="K30" s="607">
        <f t="shared" si="42"/>
        <v>6445</v>
      </c>
      <c r="L30" s="507">
        <f t="shared" si="0"/>
        <v>30.4</v>
      </c>
      <c r="M30" s="607">
        <f>M33-SUM(M6+M9+M12+M15+M18+M21+M24+M27)</f>
        <v>3980</v>
      </c>
      <c r="N30" s="607">
        <f>N33-SUM(N6+N9+N12+N15+N18+N21+N24+N27)</f>
        <v>4863</v>
      </c>
      <c r="O30" s="507">
        <f t="shared" si="1"/>
        <v>22.2</v>
      </c>
      <c r="P30" s="607">
        <f>P33-SUM(P6+P9+P12+P15+P18+P21+P24+P27)</f>
        <v>8921</v>
      </c>
      <c r="Q30" s="607">
        <f>Q33-SUM(Q6+Q9+Q12+Q15+Q18+Q21+Q24+Q27)</f>
        <v>11308</v>
      </c>
      <c r="R30" s="507">
        <f t="shared" si="2"/>
        <v>26.8</v>
      </c>
      <c r="S30" s="607">
        <f>S33-SUM(S6+S9+S12+S15+S18+S21+S24+S27)</f>
        <v>6229</v>
      </c>
      <c r="T30" s="607">
        <f>T33-SUM(T6+T9+T12+T15+T18+T21+T24+T27)</f>
        <v>7725</v>
      </c>
      <c r="U30" s="507">
        <f t="shared" si="3"/>
        <v>24</v>
      </c>
      <c r="V30" s="607">
        <f>V33-SUM(V6+V9+V12+V15+V18+V21+V24+V27)</f>
        <v>15150</v>
      </c>
      <c r="W30" s="607">
        <f>W33-SUM(W6+W9+W12+W15+W18+W21+W24+W27)</f>
        <v>19033</v>
      </c>
      <c r="X30" s="507">
        <f t="shared" si="4"/>
        <v>25.6</v>
      </c>
      <c r="Y30" s="607">
        <f>Y33-SUM(Y6+Y9+Y12+Y15+Y18+Y21+Y24+Y27)</f>
        <v>5718</v>
      </c>
      <c r="Z30" s="607">
        <f>Z33-SUM(Z6+Z9+Z12+Z15+Z18+Z21+Z24+Z27)</f>
        <v>5749</v>
      </c>
      <c r="AA30" s="507">
        <f t="shared" si="5"/>
        <v>0.5</v>
      </c>
      <c r="AB30" s="607">
        <f>AB33-SUM(AB6+AB9+AB12+AB15+AB18+AB21+AB24+AB27)</f>
        <v>20868</v>
      </c>
      <c r="AC30" s="607">
        <f>AC33-SUM(AC6+AC9+AC12+AC15+AC18+AC21+AC24+AC27)</f>
        <v>24782</v>
      </c>
      <c r="AD30" s="507">
        <f t="shared" si="6"/>
        <v>18.8</v>
      </c>
      <c r="AE30" s="607">
        <f>AE33-SUM(AE6+AE9+AE12+AE15+AE18+AE21+AE24+AE27)</f>
        <v>5234</v>
      </c>
      <c r="AF30" s="607">
        <f>AF33-SUM(AF6+AF9+AF12+AF15+AF18+AF21+AF24+AF27)</f>
        <v>6755</v>
      </c>
      <c r="AG30" s="507">
        <f t="shared" si="7"/>
        <v>29.1</v>
      </c>
      <c r="AH30" s="607">
        <f>AH33-SUM(AH6+AH9+AH12+AH15+AH18+AH21+AH24+AH27)</f>
        <v>26102</v>
      </c>
      <c r="AI30" s="607">
        <f>AI33-SUM(AI6+AI9+AI12+AI15+AI18+AI21+AI24+AI27)</f>
        <v>31537</v>
      </c>
      <c r="AJ30" s="507">
        <f t="shared" si="8"/>
        <v>20.8</v>
      </c>
    </row>
    <row r="31" spans="1:36" ht="22.5" customHeight="1">
      <c r="A31" s="668"/>
      <c r="B31" s="753"/>
      <c r="C31" s="756"/>
      <c r="D31" s="665" t="s">
        <v>8</v>
      </c>
      <c r="E31" s="411">
        <f t="shared" si="41"/>
        <v>388035</v>
      </c>
      <c r="F31" s="196">
        <f t="shared" si="41"/>
        <v>383771</v>
      </c>
      <c r="G31" s="174">
        <f t="shared" si="41"/>
        <v>453285</v>
      </c>
      <c r="H31" s="401">
        <f t="shared" si="41"/>
        <v>430206</v>
      </c>
      <c r="I31" s="606">
        <f>I34-SUM(I7+I10+I13+I16+I19+I22+I25+I28)</f>
        <v>576472</v>
      </c>
      <c r="J31" s="606">
        <f t="shared" ref="J31:K31" si="43">J34-SUM(J7+J10+J13+J16+J19+J22+J25+J28)</f>
        <v>45447</v>
      </c>
      <c r="K31" s="606">
        <f t="shared" si="43"/>
        <v>63325</v>
      </c>
      <c r="L31" s="505">
        <f t="shared" si="0"/>
        <v>39.299999999999997</v>
      </c>
      <c r="M31" s="606">
        <f>M34-SUM(M7+M10+M13+M16+M19+M22+M25+M28)</f>
        <v>39340</v>
      </c>
      <c r="N31" s="606">
        <f>N34-SUM(N7+N10+N13+N16+N19+N22+N25+N28)</f>
        <v>88873</v>
      </c>
      <c r="O31" s="505">
        <f t="shared" si="1"/>
        <v>125.9</v>
      </c>
      <c r="P31" s="606">
        <f>P34-SUM(P7+P10+P13+P16+P19+P22+P25+P28)</f>
        <v>84787</v>
      </c>
      <c r="Q31" s="606">
        <f>Q34-SUM(Q7+Q10+Q13+Q16+Q19+Q22+Q25+Q28)</f>
        <v>152198</v>
      </c>
      <c r="R31" s="505">
        <f t="shared" si="2"/>
        <v>79.5</v>
      </c>
      <c r="S31" s="606">
        <f>S34-SUM(S7+S10+S13+S16+S19+S22+S25+S28)</f>
        <v>50724</v>
      </c>
      <c r="T31" s="606">
        <f>T34-SUM(T7+T10+T13+T16+T19+T22+T25+T28)</f>
        <v>36481</v>
      </c>
      <c r="U31" s="505">
        <f t="shared" si="3"/>
        <v>-28.1</v>
      </c>
      <c r="V31" s="606">
        <f>V34-SUM(V7+V10+V13+V16+V19+V22+V25+V28)</f>
        <v>135511</v>
      </c>
      <c r="W31" s="606">
        <f>W34-SUM(W7+W10+W13+W16+W19+W22+W25+W28)</f>
        <v>188679</v>
      </c>
      <c r="X31" s="505">
        <f t="shared" si="4"/>
        <v>39.200000000000003</v>
      </c>
      <c r="Y31" s="606">
        <f>Y34-SUM(Y7+Y10+Y13+Y16+Y19+Y22+Y25+Y28)</f>
        <v>43312</v>
      </c>
      <c r="Z31" s="606">
        <f>Z34-SUM(Z7+Z10+Z13+Z16+Z19+Z22+Z25+Z28)</f>
        <v>58542</v>
      </c>
      <c r="AA31" s="505">
        <f t="shared" si="5"/>
        <v>35.200000000000003</v>
      </c>
      <c r="AB31" s="606">
        <f>AB34-SUM(AB7+AB10+AB13+AB16+AB19+AB22+AB25+AB28)</f>
        <v>178823</v>
      </c>
      <c r="AC31" s="606">
        <f>AC34-SUM(AC7+AC10+AC13+AC16+AC19+AC22+AC25+AC28)</f>
        <v>247221</v>
      </c>
      <c r="AD31" s="505">
        <f t="shared" si="6"/>
        <v>38.200000000000003</v>
      </c>
      <c r="AE31" s="606">
        <f>AE34-SUM(AE7+AE10+AE13+AE16+AE19+AE22+AE25+AE28)</f>
        <v>36358</v>
      </c>
      <c r="AF31" s="606">
        <f>AF34-SUM(AF7+AF10+AF13+AF16+AF19+AF22+AF25+AF28)</f>
        <v>80040</v>
      </c>
      <c r="AG31" s="505">
        <f t="shared" si="7"/>
        <v>120.1</v>
      </c>
      <c r="AH31" s="606">
        <f>AH34-SUM(AH7+AH10+AH13+AH16+AH19+AH22+AH25+AH28)</f>
        <v>215181</v>
      </c>
      <c r="AI31" s="606">
        <f>AI34-SUM(AI7+AI10+AI13+AI16+AI19+AI22+AI25+AI28)</f>
        <v>327261</v>
      </c>
      <c r="AJ31" s="505">
        <f t="shared" si="8"/>
        <v>52.1</v>
      </c>
    </row>
    <row r="32" spans="1:36" ht="22.5" customHeight="1">
      <c r="A32" s="668"/>
      <c r="B32" s="754"/>
      <c r="C32" s="757"/>
      <c r="D32" s="667" t="s">
        <v>9</v>
      </c>
      <c r="E32" s="415">
        <f t="shared" ref="E32:G32" si="44">E31/E30*1000</f>
        <v>7140.6094733355421</v>
      </c>
      <c r="F32" s="202">
        <f t="shared" si="44"/>
        <v>8978.1494911685586</v>
      </c>
      <c r="G32" s="178">
        <f t="shared" si="44"/>
        <v>10093.860645333691</v>
      </c>
      <c r="H32" s="405">
        <f>H31/H30*1000</f>
        <v>10876.697089980533</v>
      </c>
      <c r="I32" s="514">
        <f>I31/I30*1000</f>
        <v>8359.0278986137691</v>
      </c>
      <c r="J32" s="514">
        <f>J31/J30*1000</f>
        <v>9197.9356405585913</v>
      </c>
      <c r="K32" s="514">
        <f>K31/K30*1000</f>
        <v>9825.4460822342899</v>
      </c>
      <c r="L32" s="506">
        <f t="shared" si="0"/>
        <v>6.8</v>
      </c>
      <c r="M32" s="514">
        <f>M31/M30*1000</f>
        <v>9884.4221105527649</v>
      </c>
      <c r="N32" s="514">
        <f>N31/N30*1000</f>
        <v>18275.344437589963</v>
      </c>
      <c r="O32" s="506">
        <f t="shared" si="1"/>
        <v>84.9</v>
      </c>
      <c r="P32" s="514">
        <f>P31/P30*1000</f>
        <v>9504.2035646227996</v>
      </c>
      <c r="Q32" s="514">
        <f>Q31/Q30*1000</f>
        <v>13459.320834807215</v>
      </c>
      <c r="R32" s="506">
        <f t="shared" si="2"/>
        <v>41.6</v>
      </c>
      <c r="S32" s="514">
        <f>S31/S30*1000</f>
        <v>8143.2011558837694</v>
      </c>
      <c r="T32" s="514">
        <f>T31/T30*1000</f>
        <v>4722.4595469255655</v>
      </c>
      <c r="U32" s="506">
        <f t="shared" si="3"/>
        <v>-42</v>
      </c>
      <c r="V32" s="514">
        <f>V31/V30*1000</f>
        <v>8944.6204620462049</v>
      </c>
      <c r="W32" s="514">
        <f t="shared" ref="W32" si="45">W31/W30*1000</f>
        <v>9913.2559239216098</v>
      </c>
      <c r="X32" s="506">
        <f t="shared" si="4"/>
        <v>10.8</v>
      </c>
      <c r="Y32" s="514">
        <f>Y31/Y30*1000</f>
        <v>7574.676460300805</v>
      </c>
      <c r="Z32" s="514">
        <f>Z31/Z30*1000</f>
        <v>10182.988345799269</v>
      </c>
      <c r="AA32" s="506">
        <f t="shared" si="5"/>
        <v>34.4</v>
      </c>
      <c r="AB32" s="514">
        <f>AB31/AB30*1000</f>
        <v>8569.2447766915848</v>
      </c>
      <c r="AC32" s="514">
        <f t="shared" ref="AC32" si="46">AC31/AC30*1000</f>
        <v>9975.8292308933906</v>
      </c>
      <c r="AD32" s="506">
        <f t="shared" si="6"/>
        <v>16.399999999999999</v>
      </c>
      <c r="AE32" s="514">
        <f>AE31/AE30*1000</f>
        <v>6946.5036301108139</v>
      </c>
      <c r="AF32" s="514">
        <f>AF31/AF30*1000</f>
        <v>11849.00074019245</v>
      </c>
      <c r="AG32" s="506">
        <f t="shared" si="7"/>
        <v>70.599999999999994</v>
      </c>
      <c r="AH32" s="514">
        <f>AH31/AH30*1000</f>
        <v>8243.8510458968667</v>
      </c>
      <c r="AI32" s="514">
        <f t="shared" ref="AI32" si="47">AI31/AI30*1000</f>
        <v>10377.049180327869</v>
      </c>
      <c r="AJ32" s="506">
        <f t="shared" si="8"/>
        <v>25.9</v>
      </c>
    </row>
    <row r="33" spans="1:36" ht="22.5" customHeight="1">
      <c r="A33" s="668"/>
      <c r="B33" s="779" t="s">
        <v>19</v>
      </c>
      <c r="C33" s="782"/>
      <c r="D33" s="12" t="s">
        <v>569</v>
      </c>
      <c r="E33" s="416">
        <v>686572</v>
      </c>
      <c r="F33" s="203">
        <v>695520</v>
      </c>
      <c r="G33" s="179">
        <v>692382</v>
      </c>
      <c r="H33" s="406">
        <v>689932</v>
      </c>
      <c r="I33" s="521">
        <v>705061</v>
      </c>
      <c r="J33" s="521">
        <v>52369</v>
      </c>
      <c r="K33" s="521">
        <v>56276</v>
      </c>
      <c r="L33" s="508">
        <f t="shared" si="0"/>
        <v>7.5</v>
      </c>
      <c r="M33" s="521">
        <f>P33-J33</f>
        <v>52350</v>
      </c>
      <c r="N33" s="521">
        <f>Q33-K33</f>
        <v>58268</v>
      </c>
      <c r="O33" s="508">
        <f t="shared" si="1"/>
        <v>11.3</v>
      </c>
      <c r="P33" s="521">
        <v>104719</v>
      </c>
      <c r="Q33" s="521">
        <v>114544</v>
      </c>
      <c r="R33" s="508">
        <f t="shared" si="2"/>
        <v>9.4</v>
      </c>
      <c r="S33" s="521">
        <f>V33-P33</f>
        <v>53861</v>
      </c>
      <c r="T33" s="521">
        <f>W33-Q33</f>
        <v>67119</v>
      </c>
      <c r="U33" s="508">
        <f t="shared" si="3"/>
        <v>24.6</v>
      </c>
      <c r="V33" s="521">
        <v>158580</v>
      </c>
      <c r="W33" s="521">
        <v>181663</v>
      </c>
      <c r="X33" s="508">
        <f t="shared" si="4"/>
        <v>14.6</v>
      </c>
      <c r="Y33" s="521">
        <f>AB33-V33</f>
        <v>51930</v>
      </c>
      <c r="Z33" s="521">
        <f>AC33-W33</f>
        <v>72996</v>
      </c>
      <c r="AA33" s="508">
        <f t="shared" si="5"/>
        <v>40.6</v>
      </c>
      <c r="AB33" s="521">
        <v>210510</v>
      </c>
      <c r="AC33" s="521">
        <v>254659</v>
      </c>
      <c r="AD33" s="508">
        <f t="shared" si="6"/>
        <v>21</v>
      </c>
      <c r="AE33" s="521">
        <f>AH33-AB33</f>
        <v>48958</v>
      </c>
      <c r="AF33" s="521">
        <f>AI33-AC33</f>
        <v>73796</v>
      </c>
      <c r="AG33" s="508">
        <f t="shared" si="7"/>
        <v>50.7</v>
      </c>
      <c r="AH33" s="521">
        <v>259468</v>
      </c>
      <c r="AI33" s="521">
        <v>328455</v>
      </c>
      <c r="AJ33" s="508">
        <f t="shared" si="8"/>
        <v>26.6</v>
      </c>
    </row>
    <row r="34" spans="1:36" ht="22.5" customHeight="1">
      <c r="A34" s="668"/>
      <c r="B34" s="780"/>
      <c r="C34" s="783"/>
      <c r="D34" s="664" t="s">
        <v>252</v>
      </c>
      <c r="E34" s="417">
        <v>3687127</v>
      </c>
      <c r="F34" s="204">
        <v>4428248</v>
      </c>
      <c r="G34" s="180">
        <v>4903888</v>
      </c>
      <c r="H34" s="407">
        <v>4643144</v>
      </c>
      <c r="I34" s="522">
        <v>4826518</v>
      </c>
      <c r="J34" s="522">
        <v>350472</v>
      </c>
      <c r="K34" s="522">
        <v>478744</v>
      </c>
      <c r="L34" s="509">
        <f t="shared" si="0"/>
        <v>36.6</v>
      </c>
      <c r="M34" s="522">
        <f>P34-J34</f>
        <v>353913</v>
      </c>
      <c r="N34" s="522">
        <f>Q34-K34</f>
        <v>496161</v>
      </c>
      <c r="O34" s="509">
        <f t="shared" si="1"/>
        <v>40.200000000000003</v>
      </c>
      <c r="P34" s="522">
        <v>704385</v>
      </c>
      <c r="Q34" s="522">
        <v>974905</v>
      </c>
      <c r="R34" s="509">
        <f t="shared" si="2"/>
        <v>38.4</v>
      </c>
      <c r="S34" s="522">
        <f>V34-P34</f>
        <v>365139</v>
      </c>
      <c r="T34" s="522">
        <f>W34-Q34</f>
        <v>574058</v>
      </c>
      <c r="U34" s="509">
        <f t="shared" si="3"/>
        <v>57.2</v>
      </c>
      <c r="V34" s="522">
        <v>1069524</v>
      </c>
      <c r="W34" s="522">
        <v>1548963</v>
      </c>
      <c r="X34" s="509">
        <f t="shared" si="4"/>
        <v>44.8</v>
      </c>
      <c r="Y34" s="522">
        <f>AB34-V34</f>
        <v>331401</v>
      </c>
      <c r="Z34" s="522">
        <f>AC34-W34</f>
        <v>613845</v>
      </c>
      <c r="AA34" s="509">
        <f t="shared" si="5"/>
        <v>85.2</v>
      </c>
      <c r="AB34" s="522">
        <v>1400925</v>
      </c>
      <c r="AC34" s="522">
        <v>2162808</v>
      </c>
      <c r="AD34" s="509">
        <f t="shared" si="6"/>
        <v>54.4</v>
      </c>
      <c r="AE34" s="522">
        <f>AH34-AB34</f>
        <v>302267</v>
      </c>
      <c r="AF34" s="522">
        <f>AI34-AC34</f>
        <v>702452</v>
      </c>
      <c r="AG34" s="509">
        <f t="shared" si="7"/>
        <v>132.4</v>
      </c>
      <c r="AH34" s="522">
        <v>1703192</v>
      </c>
      <c r="AI34" s="522">
        <v>2865260</v>
      </c>
      <c r="AJ34" s="509">
        <f t="shared" si="8"/>
        <v>68.2</v>
      </c>
    </row>
    <row r="35" spans="1:36" ht="22.5" customHeight="1">
      <c r="A35" s="668"/>
      <c r="B35" s="781"/>
      <c r="C35" s="784"/>
      <c r="D35" s="670" t="s">
        <v>296</v>
      </c>
      <c r="E35" s="418">
        <f t="shared" ref="E35:G35" si="48">E34/E33*1000</f>
        <v>5370.3428045419851</v>
      </c>
      <c r="F35" s="205">
        <f t="shared" si="48"/>
        <v>6366.8161950770645</v>
      </c>
      <c r="G35" s="181">
        <f t="shared" si="48"/>
        <v>7082.633575107383</v>
      </c>
      <c r="H35" s="408">
        <f>H34/H33*1000</f>
        <v>6729.8574352255</v>
      </c>
      <c r="I35" s="515">
        <f>I34/I33*1000</f>
        <v>6845.5325142079901</v>
      </c>
      <c r="J35" s="515">
        <f>J34/J33*1000</f>
        <v>6692.3561649067196</v>
      </c>
      <c r="K35" s="515">
        <f>K34/K33*1000</f>
        <v>8507.0722865875341</v>
      </c>
      <c r="L35" s="510">
        <f t="shared" si="0"/>
        <v>27.1</v>
      </c>
      <c r="M35" s="515">
        <f>M34/M33*1000</f>
        <v>6760.5157593123213</v>
      </c>
      <c r="N35" s="515">
        <f>N34/N33*1000</f>
        <v>8515.1541154664665</v>
      </c>
      <c r="O35" s="510">
        <f t="shared" si="1"/>
        <v>26</v>
      </c>
      <c r="P35" s="515">
        <f>P34/P33*1000</f>
        <v>6726.4297787412024</v>
      </c>
      <c r="Q35" s="515">
        <f>Q34/Q33*1000</f>
        <v>8511.1834753457188</v>
      </c>
      <c r="R35" s="510">
        <f t="shared" si="2"/>
        <v>26.5</v>
      </c>
      <c r="S35" s="515">
        <f>S34/S33*1000</f>
        <v>6779.2837117766103</v>
      </c>
      <c r="T35" s="515">
        <f>T34/T33*1000</f>
        <v>8552.8389874700169</v>
      </c>
      <c r="U35" s="510">
        <f t="shared" si="3"/>
        <v>26.2</v>
      </c>
      <c r="V35" s="515">
        <f>V34/V33*1000</f>
        <v>6744.381384790011</v>
      </c>
      <c r="W35" s="515">
        <f t="shared" ref="W35" si="49">W34/W33*1000</f>
        <v>8526.5739308499815</v>
      </c>
      <c r="X35" s="510">
        <f t="shared" si="4"/>
        <v>26.4</v>
      </c>
      <c r="Y35" s="515">
        <f>Y34/Y33*1000</f>
        <v>6381.6868861929524</v>
      </c>
      <c r="Z35" s="515">
        <f>Z34/Z33*1000</f>
        <v>8409.2963998027299</v>
      </c>
      <c r="AA35" s="510">
        <f t="shared" si="5"/>
        <v>31.8</v>
      </c>
      <c r="AB35" s="515">
        <f>AB34/AB33*1000</f>
        <v>6654.9095054866757</v>
      </c>
      <c r="AC35" s="515">
        <f t="shared" ref="AC35" si="50">AC34/AC33*1000</f>
        <v>8492.9572487129844</v>
      </c>
      <c r="AD35" s="510">
        <f t="shared" si="6"/>
        <v>27.6</v>
      </c>
      <c r="AE35" s="515">
        <f>AE34/AE33*1000</f>
        <v>6174.0062911066625</v>
      </c>
      <c r="AF35" s="515">
        <f>AF34/AF33*1000</f>
        <v>9518.835709252533</v>
      </c>
      <c r="AG35" s="510">
        <f t="shared" si="7"/>
        <v>54.2</v>
      </c>
      <c r="AH35" s="515">
        <f>AH34/AH33*1000</f>
        <v>6564.1697627453095</v>
      </c>
      <c r="AI35" s="515">
        <f t="shared" ref="AI35" si="51">AI34/AI33*1000</f>
        <v>8723.4476564521774</v>
      </c>
      <c r="AJ35" s="510">
        <f t="shared" si="8"/>
        <v>32.9</v>
      </c>
    </row>
    <row r="36" spans="1:36" ht="22.5" customHeight="1">
      <c r="A36" s="778" t="s">
        <v>20</v>
      </c>
      <c r="B36" s="752" t="s">
        <v>21</v>
      </c>
      <c r="C36" s="762" t="s">
        <v>280</v>
      </c>
      <c r="D36" s="694" t="s">
        <v>569</v>
      </c>
      <c r="E36" s="414">
        <v>1068</v>
      </c>
      <c r="F36" s="201">
        <v>1053</v>
      </c>
      <c r="G36" s="177">
        <v>784</v>
      </c>
      <c r="H36" s="520">
        <v>520</v>
      </c>
      <c r="I36" s="607">
        <v>2542</v>
      </c>
      <c r="J36" s="607">
        <v>66</v>
      </c>
      <c r="K36" s="607">
        <v>120</v>
      </c>
      <c r="L36" s="507">
        <f t="shared" si="0"/>
        <v>81.8</v>
      </c>
      <c r="M36" s="607">
        <f>P36-J36</f>
        <v>39</v>
      </c>
      <c r="N36" s="607">
        <f>Q36-K36</f>
        <v>100</v>
      </c>
      <c r="O36" s="507">
        <f t="shared" si="1"/>
        <v>156.4</v>
      </c>
      <c r="P36" s="607">
        <v>105</v>
      </c>
      <c r="Q36" s="607">
        <v>220</v>
      </c>
      <c r="R36" s="507">
        <f t="shared" si="2"/>
        <v>109.5</v>
      </c>
      <c r="S36" s="607">
        <f>V36-P36</f>
        <v>78</v>
      </c>
      <c r="T36" s="607">
        <f>W36-Q36</f>
        <v>40</v>
      </c>
      <c r="U36" s="507">
        <f t="shared" si="3"/>
        <v>-48.7</v>
      </c>
      <c r="V36" s="607">
        <v>183</v>
      </c>
      <c r="W36" s="607">
        <v>260</v>
      </c>
      <c r="X36" s="507">
        <f t="shared" si="4"/>
        <v>42.1</v>
      </c>
      <c r="Y36" s="607">
        <f>AB36-V36</f>
        <v>63</v>
      </c>
      <c r="Z36" s="607">
        <f>AC36-W36</f>
        <v>45</v>
      </c>
      <c r="AA36" s="507">
        <f t="shared" si="5"/>
        <v>-28.6</v>
      </c>
      <c r="AB36" s="607">
        <v>246</v>
      </c>
      <c r="AC36" s="607">
        <v>305</v>
      </c>
      <c r="AD36" s="507">
        <f t="shared" si="6"/>
        <v>24</v>
      </c>
      <c r="AE36" s="607">
        <f>AH36-AB36</f>
        <v>76</v>
      </c>
      <c r="AF36" s="607">
        <f>AI36-AC36</f>
        <v>88</v>
      </c>
      <c r="AG36" s="507">
        <f t="shared" si="7"/>
        <v>15.8</v>
      </c>
      <c r="AH36" s="607">
        <v>322</v>
      </c>
      <c r="AI36" s="607">
        <v>393</v>
      </c>
      <c r="AJ36" s="507">
        <f t="shared" si="8"/>
        <v>22</v>
      </c>
    </row>
    <row r="37" spans="1:36" ht="22.5" customHeight="1">
      <c r="A37" s="769"/>
      <c r="B37" s="753"/>
      <c r="C37" s="763"/>
      <c r="D37" s="665" t="s">
        <v>8</v>
      </c>
      <c r="E37" s="411">
        <v>3067</v>
      </c>
      <c r="F37" s="196">
        <v>2060</v>
      </c>
      <c r="G37" s="174">
        <v>1485</v>
      </c>
      <c r="H37" s="401">
        <v>1012</v>
      </c>
      <c r="I37" s="606">
        <v>5757</v>
      </c>
      <c r="J37" s="606">
        <v>111</v>
      </c>
      <c r="K37" s="606">
        <v>394</v>
      </c>
      <c r="L37" s="505">
        <f t="shared" si="0"/>
        <v>255</v>
      </c>
      <c r="M37" s="606">
        <f>P37-J37</f>
        <v>117</v>
      </c>
      <c r="N37" s="606">
        <f>Q37-K37</f>
        <v>394</v>
      </c>
      <c r="O37" s="505">
        <f t="shared" si="1"/>
        <v>236.8</v>
      </c>
      <c r="P37" s="606">
        <v>228</v>
      </c>
      <c r="Q37" s="606">
        <v>788</v>
      </c>
      <c r="R37" s="505">
        <f t="shared" si="2"/>
        <v>245.6</v>
      </c>
      <c r="S37" s="606">
        <f>V37-P37</f>
        <v>111</v>
      </c>
      <c r="T37" s="606">
        <f>W37-Q37</f>
        <v>194</v>
      </c>
      <c r="U37" s="505">
        <f t="shared" si="3"/>
        <v>74.8</v>
      </c>
      <c r="V37" s="606">
        <v>339</v>
      </c>
      <c r="W37" s="606">
        <v>982</v>
      </c>
      <c r="X37" s="505">
        <f t="shared" si="4"/>
        <v>189.7</v>
      </c>
      <c r="Y37" s="606">
        <f>AB37-V37</f>
        <v>97</v>
      </c>
      <c r="Z37" s="606">
        <f>AC37-W37</f>
        <v>242</v>
      </c>
      <c r="AA37" s="505">
        <f t="shared" si="5"/>
        <v>149.5</v>
      </c>
      <c r="AB37" s="606">
        <v>436</v>
      </c>
      <c r="AC37" s="606">
        <v>1224</v>
      </c>
      <c r="AD37" s="505">
        <f t="shared" si="6"/>
        <v>180.7</v>
      </c>
      <c r="AE37" s="606">
        <f>AH37-AB37</f>
        <v>390</v>
      </c>
      <c r="AF37" s="606">
        <f>AI37-AC37</f>
        <v>340</v>
      </c>
      <c r="AG37" s="505">
        <f t="shared" si="7"/>
        <v>-12.8</v>
      </c>
      <c r="AH37" s="606">
        <v>826</v>
      </c>
      <c r="AI37" s="606">
        <v>1564</v>
      </c>
      <c r="AJ37" s="505">
        <f t="shared" si="8"/>
        <v>89.3</v>
      </c>
    </row>
    <row r="38" spans="1:36" ht="22.5" customHeight="1">
      <c r="A38" s="668"/>
      <c r="B38" s="754"/>
      <c r="C38" s="764"/>
      <c r="D38" s="667" t="s">
        <v>9</v>
      </c>
      <c r="E38" s="415">
        <f t="shared" ref="E38:G38" si="52">E37/E36*1000</f>
        <v>2871.7228464419477</v>
      </c>
      <c r="F38" s="202">
        <f t="shared" si="52"/>
        <v>1956.3152896486229</v>
      </c>
      <c r="G38" s="178">
        <f t="shared" si="52"/>
        <v>1894.1326530612246</v>
      </c>
      <c r="H38" s="402">
        <f>H37/H36*1000</f>
        <v>1946.1538461538462</v>
      </c>
      <c r="I38" s="514">
        <f>I37/I36*1000</f>
        <v>2264.7521636506685</v>
      </c>
      <c r="J38" s="514">
        <f>J37/J36*1000</f>
        <v>1681.818181818182</v>
      </c>
      <c r="K38" s="514">
        <f>K37/K36*1000</f>
        <v>3283.333333333333</v>
      </c>
      <c r="L38" s="506">
        <f t="shared" si="0"/>
        <v>95.2</v>
      </c>
      <c r="M38" s="514">
        <f>M37/M36*1000</f>
        <v>3000</v>
      </c>
      <c r="N38" s="514">
        <f>N37/N36*1000</f>
        <v>3940</v>
      </c>
      <c r="O38" s="506">
        <f t="shared" si="1"/>
        <v>31.3</v>
      </c>
      <c r="P38" s="514">
        <f>P37/P36*1000</f>
        <v>2171.4285714285711</v>
      </c>
      <c r="Q38" s="514">
        <f>Q37/Q36*1000</f>
        <v>3581.818181818182</v>
      </c>
      <c r="R38" s="506">
        <f t="shared" si="2"/>
        <v>65</v>
      </c>
      <c r="S38" s="514">
        <f>S37/S36*1000</f>
        <v>1423.0769230769231</v>
      </c>
      <c r="T38" s="514">
        <f>T37/T36*1000</f>
        <v>4850</v>
      </c>
      <c r="U38" s="506">
        <f t="shared" si="3"/>
        <v>240.8</v>
      </c>
      <c r="V38" s="514">
        <f>V37/V36*1000</f>
        <v>1852.4590163934427</v>
      </c>
      <c r="W38" s="514">
        <f t="shared" ref="W38" si="53">W37/W36*1000</f>
        <v>3776.9230769230767</v>
      </c>
      <c r="X38" s="506">
        <f t="shared" si="4"/>
        <v>103.9</v>
      </c>
      <c r="Y38" s="514">
        <f>Y37/Y36*1000</f>
        <v>1539.6825396825398</v>
      </c>
      <c r="Z38" s="514">
        <f>Z37/Z36*1000</f>
        <v>5377.7777777777783</v>
      </c>
      <c r="AA38" s="506">
        <f t="shared" si="5"/>
        <v>249.3</v>
      </c>
      <c r="AB38" s="514">
        <f>AB37/AB36*1000</f>
        <v>1772.3577235772359</v>
      </c>
      <c r="AC38" s="514">
        <f t="shared" ref="AC38" si="54">AC37/AC36*1000</f>
        <v>4013.1147540983607</v>
      </c>
      <c r="AD38" s="506">
        <f t="shared" si="6"/>
        <v>126.4</v>
      </c>
      <c r="AE38" s="514">
        <f>AE37/AE36*1000</f>
        <v>5131.5789473684208</v>
      </c>
      <c r="AF38" s="514">
        <f>AF37/AF36*1000</f>
        <v>3863.636363636364</v>
      </c>
      <c r="AG38" s="506">
        <f t="shared" si="7"/>
        <v>-24.7</v>
      </c>
      <c r="AH38" s="514">
        <f>AH37/AH36*1000</f>
        <v>2565.2173913043475</v>
      </c>
      <c r="AI38" s="514">
        <f t="shared" ref="AI38" si="55">AI37/AI36*1000</f>
        <v>3979.6437659033077</v>
      </c>
      <c r="AJ38" s="506">
        <f t="shared" si="8"/>
        <v>55.1</v>
      </c>
    </row>
    <row r="39" spans="1:36" ht="22.5" customHeight="1">
      <c r="A39" s="668"/>
      <c r="B39" s="752" t="s">
        <v>22</v>
      </c>
      <c r="C39" s="762" t="s">
        <v>281</v>
      </c>
      <c r="D39" s="694" t="s">
        <v>569</v>
      </c>
      <c r="E39" s="414">
        <f>93607-E36</f>
        <v>92539</v>
      </c>
      <c r="F39" s="201">
        <f>133260-F36</f>
        <v>132207</v>
      </c>
      <c r="G39" s="177">
        <f>216004-G36</f>
        <v>215220</v>
      </c>
      <c r="H39" s="520">
        <f>216968-H36</f>
        <v>216448</v>
      </c>
      <c r="I39" s="607">
        <f>360555-I36</f>
        <v>358013</v>
      </c>
      <c r="J39" s="607">
        <f>24433-J36</f>
        <v>24367</v>
      </c>
      <c r="K39" s="607">
        <f>25171-K36</f>
        <v>25051</v>
      </c>
      <c r="L39" s="507">
        <f t="shared" si="0"/>
        <v>2.8</v>
      </c>
      <c r="M39" s="607">
        <f>P39-J39</f>
        <v>28592</v>
      </c>
      <c r="N39" s="607">
        <f>Q39-K39</f>
        <v>22313</v>
      </c>
      <c r="O39" s="507">
        <f t="shared" si="1"/>
        <v>-22</v>
      </c>
      <c r="P39" s="607">
        <f>53064-P36</f>
        <v>52959</v>
      </c>
      <c r="Q39" s="607">
        <f>47584-Q36</f>
        <v>47364</v>
      </c>
      <c r="R39" s="507">
        <f t="shared" si="2"/>
        <v>-10.6</v>
      </c>
      <c r="S39" s="607">
        <f>V39-P39</f>
        <v>26950</v>
      </c>
      <c r="T39" s="607">
        <f>W39-Q39</f>
        <v>36572</v>
      </c>
      <c r="U39" s="507">
        <f t="shared" si="3"/>
        <v>35.700000000000003</v>
      </c>
      <c r="V39" s="607">
        <f>80092-V36</f>
        <v>79909</v>
      </c>
      <c r="W39" s="607">
        <f>84196-W36</f>
        <v>83936</v>
      </c>
      <c r="X39" s="507">
        <f t="shared" si="4"/>
        <v>5</v>
      </c>
      <c r="Y39" s="607">
        <f>AB39-V39</f>
        <v>17230</v>
      </c>
      <c r="Z39" s="607">
        <f>AC39-W39</f>
        <v>28327</v>
      </c>
      <c r="AA39" s="507">
        <f t="shared" si="5"/>
        <v>64.400000000000006</v>
      </c>
      <c r="AB39" s="607">
        <f>97385-AB36</f>
        <v>97139</v>
      </c>
      <c r="AC39" s="607">
        <f>112568-AC36</f>
        <v>112263</v>
      </c>
      <c r="AD39" s="507">
        <f t="shared" si="6"/>
        <v>15.6</v>
      </c>
      <c r="AE39" s="607">
        <f>AH39-AB39</f>
        <v>29587</v>
      </c>
      <c r="AF39" s="607">
        <f>AI39-AC39</f>
        <v>32693</v>
      </c>
      <c r="AG39" s="507">
        <f t="shared" si="7"/>
        <v>10.5</v>
      </c>
      <c r="AH39" s="607">
        <f>127048-AH36</f>
        <v>126726</v>
      </c>
      <c r="AI39" s="607">
        <f>145349-AI36</f>
        <v>144956</v>
      </c>
      <c r="AJ39" s="507">
        <f t="shared" si="8"/>
        <v>14.4</v>
      </c>
    </row>
    <row r="40" spans="1:36" ht="22.5" customHeight="1">
      <c r="A40" s="668"/>
      <c r="B40" s="753"/>
      <c r="C40" s="763"/>
      <c r="D40" s="665" t="s">
        <v>8</v>
      </c>
      <c r="E40" s="411">
        <f>192156-E37</f>
        <v>189089</v>
      </c>
      <c r="F40" s="196">
        <f>298234-F37</f>
        <v>296174</v>
      </c>
      <c r="G40" s="174">
        <f>520780-G37</f>
        <v>519295</v>
      </c>
      <c r="H40" s="401">
        <f>445528-H37</f>
        <v>444516</v>
      </c>
      <c r="I40" s="606">
        <f>635262-I37</f>
        <v>629505</v>
      </c>
      <c r="J40" s="606">
        <f>44633-J37</f>
        <v>44522</v>
      </c>
      <c r="K40" s="606">
        <f>56581-K37</f>
        <v>56187</v>
      </c>
      <c r="L40" s="505">
        <f t="shared" si="0"/>
        <v>26.2</v>
      </c>
      <c r="M40" s="606">
        <f>P40-J40</f>
        <v>52702</v>
      </c>
      <c r="N40" s="606">
        <f>Q40-K40</f>
        <v>50857</v>
      </c>
      <c r="O40" s="505">
        <f t="shared" si="1"/>
        <v>-3.5</v>
      </c>
      <c r="P40" s="606">
        <f>97452-P37</f>
        <v>97224</v>
      </c>
      <c r="Q40" s="606">
        <f>107832-Q37</f>
        <v>107044</v>
      </c>
      <c r="R40" s="505">
        <f t="shared" si="2"/>
        <v>10.1</v>
      </c>
      <c r="S40" s="606">
        <f>V40-P40</f>
        <v>48884</v>
      </c>
      <c r="T40" s="606">
        <f>W40-Q40</f>
        <v>85063</v>
      </c>
      <c r="U40" s="505">
        <f t="shared" si="3"/>
        <v>74</v>
      </c>
      <c r="V40" s="606">
        <f>146447-V37</f>
        <v>146108</v>
      </c>
      <c r="W40" s="606">
        <f>193089-W37</f>
        <v>192107</v>
      </c>
      <c r="X40" s="505">
        <f t="shared" si="4"/>
        <v>31.5</v>
      </c>
      <c r="Y40" s="606">
        <f>AB40-V40</f>
        <v>29319</v>
      </c>
      <c r="Z40" s="606">
        <f>AC40-W40</f>
        <v>68496</v>
      </c>
      <c r="AA40" s="505">
        <f t="shared" si="5"/>
        <v>133.6</v>
      </c>
      <c r="AB40" s="606">
        <f>175863-AB37</f>
        <v>175427</v>
      </c>
      <c r="AC40" s="606">
        <f>261827-AC37</f>
        <v>260603</v>
      </c>
      <c r="AD40" s="505">
        <f t="shared" si="6"/>
        <v>48.6</v>
      </c>
      <c r="AE40" s="606">
        <f>AH40-AB40</f>
        <v>46417</v>
      </c>
      <c r="AF40" s="606">
        <f>AI40-AC40</f>
        <v>80413</v>
      </c>
      <c r="AG40" s="505">
        <f t="shared" si="7"/>
        <v>73.2</v>
      </c>
      <c r="AH40" s="606">
        <f>222670-AH37</f>
        <v>221844</v>
      </c>
      <c r="AI40" s="606">
        <f>342580-AI37</f>
        <v>341016</v>
      </c>
      <c r="AJ40" s="505">
        <f t="shared" si="8"/>
        <v>53.7</v>
      </c>
    </row>
    <row r="41" spans="1:36" ht="22.5" customHeight="1">
      <c r="A41" s="668"/>
      <c r="B41" s="754"/>
      <c r="C41" s="764"/>
      <c r="D41" s="667" t="s">
        <v>9</v>
      </c>
      <c r="E41" s="415">
        <f t="shared" ref="E41:G41" si="56">E40/E39*1000</f>
        <v>2043.3438874420515</v>
      </c>
      <c r="F41" s="202">
        <f t="shared" si="56"/>
        <v>2240.2293373270704</v>
      </c>
      <c r="G41" s="178">
        <f t="shared" si="56"/>
        <v>2412.8566118390486</v>
      </c>
      <c r="H41" s="402">
        <f>H40/H39*1000</f>
        <v>2053.6849497338853</v>
      </c>
      <c r="I41" s="514">
        <f>I40/I39*1000</f>
        <v>1758.3300047763628</v>
      </c>
      <c r="J41" s="514">
        <f>J40/J39*1000</f>
        <v>1827.1432675339599</v>
      </c>
      <c r="K41" s="514">
        <f>K40/K39*1000</f>
        <v>2242.9044748712627</v>
      </c>
      <c r="L41" s="506">
        <f t="shared" si="0"/>
        <v>22.8</v>
      </c>
      <c r="M41" s="514">
        <f>M40/M39*1000</f>
        <v>1843.2428651371013</v>
      </c>
      <c r="N41" s="514">
        <f>N40/N39*1000</f>
        <v>2279.2542464034418</v>
      </c>
      <c r="O41" s="506">
        <f t="shared" si="1"/>
        <v>23.7</v>
      </c>
      <c r="P41" s="514">
        <f>P40/P39*1000</f>
        <v>1835.8352687928395</v>
      </c>
      <c r="Q41" s="514">
        <f>Q40/Q39*1000</f>
        <v>2260.028713791065</v>
      </c>
      <c r="R41" s="506">
        <f t="shared" si="2"/>
        <v>23.1</v>
      </c>
      <c r="S41" s="514">
        <f>S40/S39*1000</f>
        <v>1813.8775510204082</v>
      </c>
      <c r="T41" s="514">
        <f>T40/T39*1000</f>
        <v>2325.9050639833749</v>
      </c>
      <c r="U41" s="506">
        <f t="shared" si="3"/>
        <v>28.2</v>
      </c>
      <c r="V41" s="514">
        <f>V40/V39*1000</f>
        <v>1828.4298389417963</v>
      </c>
      <c r="W41" s="514">
        <f t="shared" ref="W41" si="57">W40/W39*1000</f>
        <v>2288.7318909645442</v>
      </c>
      <c r="X41" s="506">
        <f t="shared" si="4"/>
        <v>25.2</v>
      </c>
      <c r="Y41" s="514">
        <f>Y40/Y39*1000</f>
        <v>1701.6250725478817</v>
      </c>
      <c r="Z41" s="514">
        <f>Z40/Z39*1000</f>
        <v>2418.0463868394113</v>
      </c>
      <c r="AA41" s="506">
        <f t="shared" si="5"/>
        <v>42.1</v>
      </c>
      <c r="AB41" s="514">
        <f>AB40/AB39*1000</f>
        <v>1805.9378828277004</v>
      </c>
      <c r="AC41" s="514">
        <f t="shared" ref="AC41" si="58">AC40/AC39*1000</f>
        <v>2321.3614458904535</v>
      </c>
      <c r="AD41" s="506">
        <f t="shared" si="6"/>
        <v>28.5</v>
      </c>
      <c r="AE41" s="514">
        <f>AE40/AE39*1000</f>
        <v>1568.8309054652382</v>
      </c>
      <c r="AF41" s="514">
        <f>AF40/AF39*1000</f>
        <v>2459.6396782185789</v>
      </c>
      <c r="AG41" s="506">
        <f t="shared" si="7"/>
        <v>56.8</v>
      </c>
      <c r="AH41" s="514">
        <f>AH40/AH39*1000</f>
        <v>1750.5799914776762</v>
      </c>
      <c r="AI41" s="514">
        <f t="shared" ref="AI41" si="59">AI40/AI39*1000</f>
        <v>2352.5483595021938</v>
      </c>
      <c r="AJ41" s="506">
        <f t="shared" si="8"/>
        <v>34.4</v>
      </c>
    </row>
    <row r="42" spans="1:36" ht="22.5" customHeight="1">
      <c r="A42" s="668"/>
      <c r="B42" s="752" t="s">
        <v>13</v>
      </c>
      <c r="C42" s="755">
        <v>7604</v>
      </c>
      <c r="D42" s="694" t="s">
        <v>569</v>
      </c>
      <c r="E42" s="414">
        <v>32358</v>
      </c>
      <c r="F42" s="201">
        <v>33210</v>
      </c>
      <c r="G42" s="177">
        <v>32085</v>
      </c>
      <c r="H42" s="520">
        <v>39272</v>
      </c>
      <c r="I42" s="607">
        <v>41649</v>
      </c>
      <c r="J42" s="607">
        <v>3090</v>
      </c>
      <c r="K42" s="607">
        <v>3500</v>
      </c>
      <c r="L42" s="507">
        <f t="shared" si="0"/>
        <v>13.3</v>
      </c>
      <c r="M42" s="607">
        <f>P42-J42</f>
        <v>3960</v>
      </c>
      <c r="N42" s="607">
        <f>Q42-K42</f>
        <v>3586</v>
      </c>
      <c r="O42" s="507">
        <f t="shared" si="1"/>
        <v>-9.4</v>
      </c>
      <c r="P42" s="607">
        <v>7050</v>
      </c>
      <c r="Q42" s="607">
        <v>7086</v>
      </c>
      <c r="R42" s="507">
        <f t="shared" si="2"/>
        <v>0.5</v>
      </c>
      <c r="S42" s="607">
        <f>V42-P42</f>
        <v>4773</v>
      </c>
      <c r="T42" s="607">
        <f>W42-Q42</f>
        <v>4240</v>
      </c>
      <c r="U42" s="507">
        <f t="shared" si="3"/>
        <v>-11.2</v>
      </c>
      <c r="V42" s="607">
        <v>11823</v>
      </c>
      <c r="W42" s="607">
        <v>11326</v>
      </c>
      <c r="X42" s="507">
        <f t="shared" si="4"/>
        <v>-4.2</v>
      </c>
      <c r="Y42" s="607">
        <f>AB42-V42</f>
        <v>3148</v>
      </c>
      <c r="Z42" s="607">
        <f>AC42-W42</f>
        <v>3908</v>
      </c>
      <c r="AA42" s="507">
        <f t="shared" si="5"/>
        <v>24.1</v>
      </c>
      <c r="AB42" s="607">
        <v>14971</v>
      </c>
      <c r="AC42" s="607">
        <v>15234</v>
      </c>
      <c r="AD42" s="507">
        <f t="shared" si="6"/>
        <v>1.8</v>
      </c>
      <c r="AE42" s="607">
        <f>AH42-AB42</f>
        <v>2157</v>
      </c>
      <c r="AF42" s="607">
        <f>AI42-AC42</f>
        <v>3486</v>
      </c>
      <c r="AG42" s="507">
        <f t="shared" si="7"/>
        <v>61.6</v>
      </c>
      <c r="AH42" s="607">
        <v>17128</v>
      </c>
      <c r="AI42" s="607">
        <v>18720</v>
      </c>
      <c r="AJ42" s="507">
        <f t="shared" si="8"/>
        <v>9.3000000000000007</v>
      </c>
    </row>
    <row r="43" spans="1:36" ht="22.5" customHeight="1">
      <c r="A43" s="668"/>
      <c r="B43" s="753"/>
      <c r="C43" s="756"/>
      <c r="D43" s="665" t="s">
        <v>8</v>
      </c>
      <c r="E43" s="411">
        <v>143091</v>
      </c>
      <c r="F43" s="196">
        <v>154491</v>
      </c>
      <c r="G43" s="174">
        <v>167848</v>
      </c>
      <c r="H43" s="401">
        <v>173808</v>
      </c>
      <c r="I43" s="606">
        <v>168385</v>
      </c>
      <c r="J43" s="606">
        <v>13452</v>
      </c>
      <c r="K43" s="606">
        <v>14538</v>
      </c>
      <c r="L43" s="505">
        <f t="shared" si="0"/>
        <v>8.1</v>
      </c>
      <c r="M43" s="606">
        <f>P43-J43</f>
        <v>16016</v>
      </c>
      <c r="N43" s="606">
        <f>Q43-K43</f>
        <v>14968</v>
      </c>
      <c r="O43" s="505">
        <f t="shared" si="1"/>
        <v>-6.5</v>
      </c>
      <c r="P43" s="606">
        <v>29468</v>
      </c>
      <c r="Q43" s="606">
        <v>29506</v>
      </c>
      <c r="R43" s="505">
        <f t="shared" si="2"/>
        <v>0.1</v>
      </c>
      <c r="S43" s="606">
        <f>V43-P43</f>
        <v>17775</v>
      </c>
      <c r="T43" s="606">
        <f>W43-Q43</f>
        <v>16608</v>
      </c>
      <c r="U43" s="505">
        <f t="shared" si="3"/>
        <v>-6.6</v>
      </c>
      <c r="V43" s="606">
        <v>47243</v>
      </c>
      <c r="W43" s="606">
        <v>46114</v>
      </c>
      <c r="X43" s="505">
        <f t="shared" si="4"/>
        <v>-2.4</v>
      </c>
      <c r="Y43" s="606">
        <f>AB43-V43</f>
        <v>13593</v>
      </c>
      <c r="Z43" s="606">
        <f>AC43-W43</f>
        <v>16571</v>
      </c>
      <c r="AA43" s="505">
        <f t="shared" si="5"/>
        <v>21.9</v>
      </c>
      <c r="AB43" s="606">
        <v>60836</v>
      </c>
      <c r="AC43" s="606">
        <v>62685</v>
      </c>
      <c r="AD43" s="505">
        <f t="shared" si="6"/>
        <v>3</v>
      </c>
      <c r="AE43" s="606">
        <f>AH43-AB43</f>
        <v>9989</v>
      </c>
      <c r="AF43" s="606">
        <f>AI43-AC43</f>
        <v>15709</v>
      </c>
      <c r="AG43" s="505">
        <f t="shared" si="7"/>
        <v>57.3</v>
      </c>
      <c r="AH43" s="606">
        <v>70825</v>
      </c>
      <c r="AI43" s="606">
        <v>78394</v>
      </c>
      <c r="AJ43" s="505">
        <f t="shared" si="8"/>
        <v>10.7</v>
      </c>
    </row>
    <row r="44" spans="1:36" ht="22.5" customHeight="1">
      <c r="A44" s="668"/>
      <c r="B44" s="754"/>
      <c r="C44" s="757"/>
      <c r="D44" s="667" t="s">
        <v>9</v>
      </c>
      <c r="E44" s="415">
        <f t="shared" ref="E44:G44" si="60">E43/E42*1000</f>
        <v>4422.1212683107733</v>
      </c>
      <c r="F44" s="202">
        <f t="shared" si="60"/>
        <v>4651.9421860885277</v>
      </c>
      <c r="G44" s="178">
        <f t="shared" si="60"/>
        <v>5231.3542153654353</v>
      </c>
      <c r="H44" s="402">
        <f>H43/H42*1000</f>
        <v>4425.7486249745361</v>
      </c>
      <c r="I44" s="514">
        <f>I43/I42*1000</f>
        <v>4042.9542125861362</v>
      </c>
      <c r="J44" s="514">
        <f>J43/J42*1000</f>
        <v>4353.3980582524273</v>
      </c>
      <c r="K44" s="514">
        <f>K43/K42*1000</f>
        <v>4153.7142857142862</v>
      </c>
      <c r="L44" s="506">
        <f t="shared" si="0"/>
        <v>-4.5999999999999996</v>
      </c>
      <c r="M44" s="514">
        <f>M43/M42*1000</f>
        <v>4044.4444444444443</v>
      </c>
      <c r="N44" s="514">
        <f>N43/N42*1000</f>
        <v>4174.0100390407142</v>
      </c>
      <c r="O44" s="506">
        <f t="shared" si="1"/>
        <v>3.2</v>
      </c>
      <c r="P44" s="514">
        <f>P43/P42*1000</f>
        <v>4179.8581560283692</v>
      </c>
      <c r="Q44" s="514">
        <f>Q43/Q42*1000</f>
        <v>4163.9853231724528</v>
      </c>
      <c r="R44" s="506">
        <f t="shared" si="2"/>
        <v>-0.4</v>
      </c>
      <c r="S44" s="514">
        <f>S43/S42*1000</f>
        <v>3724.0729101194215</v>
      </c>
      <c r="T44" s="514">
        <f>T43/T42*1000</f>
        <v>3916.9811320754716</v>
      </c>
      <c r="U44" s="506">
        <f t="shared" si="3"/>
        <v>5.2</v>
      </c>
      <c r="V44" s="514">
        <f>V43/V42*1000</f>
        <v>3995.8555358200115</v>
      </c>
      <c r="W44" s="514">
        <f t="shared" ref="W44" si="61">W43/W42*1000</f>
        <v>4071.5168638530813</v>
      </c>
      <c r="X44" s="506">
        <f t="shared" si="4"/>
        <v>1.9</v>
      </c>
      <c r="Y44" s="514">
        <f>Y43/Y42*1000</f>
        <v>4317.9796696315125</v>
      </c>
      <c r="Z44" s="514">
        <f>Z43/Z42*1000</f>
        <v>4240.2763561924257</v>
      </c>
      <c r="AA44" s="506">
        <f t="shared" si="5"/>
        <v>-1.8</v>
      </c>
      <c r="AB44" s="514">
        <f>AB43/AB42*1000</f>
        <v>4063.589606572707</v>
      </c>
      <c r="AC44" s="514">
        <f t="shared" ref="AC44" si="62">AC43/AC42*1000</f>
        <v>4114.8089799133513</v>
      </c>
      <c r="AD44" s="506">
        <f t="shared" si="6"/>
        <v>1.3</v>
      </c>
      <c r="AE44" s="514">
        <f>AE43/AE42*1000</f>
        <v>4630.9689383402874</v>
      </c>
      <c r="AF44" s="514">
        <f>AF43/AF42*1000</f>
        <v>4506.310958118187</v>
      </c>
      <c r="AG44" s="506">
        <f t="shared" si="7"/>
        <v>-2.7</v>
      </c>
      <c r="AH44" s="514">
        <f>AH43/AH42*1000</f>
        <v>4135.0420364315733</v>
      </c>
      <c r="AI44" s="514">
        <f t="shared" ref="AI44" si="63">AI43/AI42*1000</f>
        <v>4187.7136752136757</v>
      </c>
      <c r="AJ44" s="506">
        <f t="shared" si="8"/>
        <v>1.3</v>
      </c>
    </row>
    <row r="45" spans="1:36" ht="22.5" customHeight="1">
      <c r="A45" s="668"/>
      <c r="B45" s="752" t="s">
        <v>14</v>
      </c>
      <c r="C45" s="755">
        <v>7605</v>
      </c>
      <c r="D45" s="694" t="s">
        <v>569</v>
      </c>
      <c r="E45" s="414">
        <v>9130</v>
      </c>
      <c r="F45" s="201">
        <v>5946</v>
      </c>
      <c r="G45" s="177">
        <v>6433</v>
      </c>
      <c r="H45" s="520">
        <v>6397</v>
      </c>
      <c r="I45" s="607">
        <v>5591</v>
      </c>
      <c r="J45" s="607">
        <v>773</v>
      </c>
      <c r="K45" s="607">
        <v>522</v>
      </c>
      <c r="L45" s="507">
        <f t="shared" si="0"/>
        <v>-32.5</v>
      </c>
      <c r="M45" s="607">
        <f>P45-J45</f>
        <v>588</v>
      </c>
      <c r="N45" s="607">
        <f>Q45-K45</f>
        <v>377</v>
      </c>
      <c r="O45" s="507">
        <f t="shared" si="1"/>
        <v>-35.9</v>
      </c>
      <c r="P45" s="607">
        <v>1361</v>
      </c>
      <c r="Q45" s="607">
        <v>899</v>
      </c>
      <c r="R45" s="507">
        <f t="shared" si="2"/>
        <v>-33.9</v>
      </c>
      <c r="S45" s="607">
        <f>V45-P45</f>
        <v>410</v>
      </c>
      <c r="T45" s="607">
        <f>W45-Q45</f>
        <v>653</v>
      </c>
      <c r="U45" s="507">
        <f t="shared" si="3"/>
        <v>59.3</v>
      </c>
      <c r="V45" s="607">
        <v>1771</v>
      </c>
      <c r="W45" s="607">
        <v>1552</v>
      </c>
      <c r="X45" s="507">
        <f t="shared" si="4"/>
        <v>-12.4</v>
      </c>
      <c r="Y45" s="607">
        <f>AB45-V45</f>
        <v>533</v>
      </c>
      <c r="Z45" s="607">
        <f>AC45-W45</f>
        <v>479</v>
      </c>
      <c r="AA45" s="507">
        <f t="shared" si="5"/>
        <v>-10.1</v>
      </c>
      <c r="AB45" s="607">
        <v>2304</v>
      </c>
      <c r="AC45" s="607">
        <v>2031</v>
      </c>
      <c r="AD45" s="507">
        <f t="shared" si="6"/>
        <v>-11.8</v>
      </c>
      <c r="AE45" s="607">
        <f>AH45-AB45</f>
        <v>345</v>
      </c>
      <c r="AF45" s="607">
        <f>AI45-AC45</f>
        <v>665</v>
      </c>
      <c r="AG45" s="507">
        <f t="shared" si="7"/>
        <v>92.8</v>
      </c>
      <c r="AH45" s="607">
        <v>2649</v>
      </c>
      <c r="AI45" s="607">
        <v>2696</v>
      </c>
      <c r="AJ45" s="507">
        <f t="shared" si="8"/>
        <v>1.8</v>
      </c>
    </row>
    <row r="46" spans="1:36" ht="22.5" customHeight="1">
      <c r="A46" s="668"/>
      <c r="B46" s="753"/>
      <c r="C46" s="756"/>
      <c r="D46" s="665" t="s">
        <v>8</v>
      </c>
      <c r="E46" s="411">
        <v>23122</v>
      </c>
      <c r="F46" s="196">
        <v>19869</v>
      </c>
      <c r="G46" s="174">
        <v>22619</v>
      </c>
      <c r="H46" s="401">
        <v>19742</v>
      </c>
      <c r="I46" s="606">
        <v>17478</v>
      </c>
      <c r="J46" s="606">
        <v>2193</v>
      </c>
      <c r="K46" s="606">
        <v>1800</v>
      </c>
      <c r="L46" s="505">
        <f t="shared" si="0"/>
        <v>-17.899999999999999</v>
      </c>
      <c r="M46" s="606">
        <f>P46-J46</f>
        <v>1713</v>
      </c>
      <c r="N46" s="606">
        <f>Q46-K46</f>
        <v>1254</v>
      </c>
      <c r="O46" s="505">
        <f t="shared" si="1"/>
        <v>-26.8</v>
      </c>
      <c r="P46" s="606">
        <v>3906</v>
      </c>
      <c r="Q46" s="606">
        <v>3054</v>
      </c>
      <c r="R46" s="505">
        <f t="shared" si="2"/>
        <v>-21.8</v>
      </c>
      <c r="S46" s="606">
        <f>V46-P46</f>
        <v>1317</v>
      </c>
      <c r="T46" s="606">
        <f>W46-Q46</f>
        <v>2152</v>
      </c>
      <c r="U46" s="505">
        <f t="shared" si="3"/>
        <v>63.4</v>
      </c>
      <c r="V46" s="606">
        <v>5223</v>
      </c>
      <c r="W46" s="606">
        <v>5206</v>
      </c>
      <c r="X46" s="505">
        <f t="shared" si="4"/>
        <v>-0.3</v>
      </c>
      <c r="Y46" s="606">
        <f>AB46-V46</f>
        <v>1612</v>
      </c>
      <c r="Z46" s="606">
        <f>AC46-W46</f>
        <v>1789</v>
      </c>
      <c r="AA46" s="505">
        <f t="shared" si="5"/>
        <v>11</v>
      </c>
      <c r="AB46" s="606">
        <v>6835</v>
      </c>
      <c r="AC46" s="606">
        <v>6995</v>
      </c>
      <c r="AD46" s="505">
        <f t="shared" si="6"/>
        <v>2.2999999999999998</v>
      </c>
      <c r="AE46" s="606">
        <f>AH46-AB46</f>
        <v>1249</v>
      </c>
      <c r="AF46" s="606">
        <f>AI46-AC46</f>
        <v>2536</v>
      </c>
      <c r="AG46" s="505">
        <f t="shared" si="7"/>
        <v>103</v>
      </c>
      <c r="AH46" s="606">
        <v>8084</v>
      </c>
      <c r="AI46" s="606">
        <v>9531</v>
      </c>
      <c r="AJ46" s="505">
        <f t="shared" si="8"/>
        <v>17.899999999999999</v>
      </c>
    </row>
    <row r="47" spans="1:36" ht="22.5" customHeight="1">
      <c r="A47" s="668"/>
      <c r="B47" s="754"/>
      <c r="C47" s="757"/>
      <c r="D47" s="667" t="s">
        <v>9</v>
      </c>
      <c r="E47" s="415">
        <f t="shared" ref="E47:G47" si="64">E46/E45*1000</f>
        <v>2532.5301204819275</v>
      </c>
      <c r="F47" s="202">
        <f t="shared" si="64"/>
        <v>3341.5741675075683</v>
      </c>
      <c r="G47" s="178">
        <f t="shared" si="64"/>
        <v>3516.0889165241724</v>
      </c>
      <c r="H47" s="402">
        <f>H46/H45*1000</f>
        <v>3086.1341253712681</v>
      </c>
      <c r="I47" s="514">
        <f>I46/I45*1000</f>
        <v>3126.0955106421034</v>
      </c>
      <c r="J47" s="514">
        <f>J46/J45*1000</f>
        <v>2836.9987063389394</v>
      </c>
      <c r="K47" s="514">
        <f>K46/K45*1000</f>
        <v>3448.2758620689651</v>
      </c>
      <c r="L47" s="506">
        <f t="shared" si="0"/>
        <v>21.5</v>
      </c>
      <c r="M47" s="514">
        <f>M46/M45*1000</f>
        <v>2913.2653061224491</v>
      </c>
      <c r="N47" s="514">
        <f>N46/N45*1000</f>
        <v>3326.2599469496022</v>
      </c>
      <c r="O47" s="506">
        <f t="shared" si="1"/>
        <v>14.2</v>
      </c>
      <c r="P47" s="514">
        <f>P46/P45*1000</f>
        <v>2869.9485672299779</v>
      </c>
      <c r="Q47" s="514">
        <f>Q46/Q45*1000</f>
        <v>3397.1078976640711</v>
      </c>
      <c r="R47" s="506">
        <f t="shared" si="2"/>
        <v>18.399999999999999</v>
      </c>
      <c r="S47" s="514">
        <f>S46/S45*1000</f>
        <v>3212.1951219512198</v>
      </c>
      <c r="T47" s="514">
        <f>T46/T45*1000</f>
        <v>3295.5589586523738</v>
      </c>
      <c r="U47" s="506">
        <f t="shared" si="3"/>
        <v>2.6</v>
      </c>
      <c r="V47" s="514">
        <f>V46/V45*1000</f>
        <v>2949.1812535290796</v>
      </c>
      <c r="W47" s="514">
        <f t="shared" ref="W47" si="65">W46/W45*1000</f>
        <v>3354.3814432989693</v>
      </c>
      <c r="X47" s="506">
        <f t="shared" si="4"/>
        <v>13.7</v>
      </c>
      <c r="Y47" s="514">
        <f>Y46/Y45*1000</f>
        <v>3024.3902439024391</v>
      </c>
      <c r="Z47" s="514">
        <f>Z46/Z45*1000</f>
        <v>3734.8643006263046</v>
      </c>
      <c r="AA47" s="506">
        <f t="shared" si="5"/>
        <v>23.5</v>
      </c>
      <c r="AB47" s="514">
        <f>AB46/AB45*1000</f>
        <v>2966.5798611111113</v>
      </c>
      <c r="AC47" s="514">
        <f t="shared" ref="AC47" si="66">AC46/AC45*1000</f>
        <v>3444.1161989167899</v>
      </c>
      <c r="AD47" s="506">
        <f t="shared" si="6"/>
        <v>16.100000000000001</v>
      </c>
      <c r="AE47" s="514">
        <f>AE46/AE45*1000</f>
        <v>3620.2898550724635</v>
      </c>
      <c r="AF47" s="514">
        <f>AF46/AF45*1000</f>
        <v>3813.5338345864661</v>
      </c>
      <c r="AG47" s="506">
        <f t="shared" si="7"/>
        <v>5.3</v>
      </c>
      <c r="AH47" s="514">
        <f>AH46/AH45*1000</f>
        <v>3051.7176292940735</v>
      </c>
      <c r="AI47" s="514">
        <f t="shared" ref="AI47" si="67">AI46/AI45*1000</f>
        <v>3535.2373887240356</v>
      </c>
      <c r="AJ47" s="506">
        <f t="shared" si="8"/>
        <v>15.8</v>
      </c>
    </row>
    <row r="48" spans="1:36" ht="22.5" customHeight="1">
      <c r="A48" s="668"/>
      <c r="B48" s="752" t="s">
        <v>15</v>
      </c>
      <c r="C48" s="755">
        <v>7606</v>
      </c>
      <c r="D48" s="694" t="s">
        <v>569</v>
      </c>
      <c r="E48" s="414">
        <v>465056</v>
      </c>
      <c r="F48" s="201">
        <v>501824</v>
      </c>
      <c r="G48" s="177">
        <v>551915</v>
      </c>
      <c r="H48" s="520">
        <v>618065</v>
      </c>
      <c r="I48" s="607">
        <v>615159</v>
      </c>
      <c r="J48" s="607">
        <v>51181</v>
      </c>
      <c r="K48" s="607">
        <v>51683</v>
      </c>
      <c r="L48" s="507">
        <f t="shared" si="0"/>
        <v>1</v>
      </c>
      <c r="M48" s="607">
        <f>P48-J48</f>
        <v>52123</v>
      </c>
      <c r="N48" s="607">
        <f>Q48-K48</f>
        <v>45625</v>
      </c>
      <c r="O48" s="507">
        <f t="shared" si="1"/>
        <v>-12.5</v>
      </c>
      <c r="P48" s="607">
        <v>103304</v>
      </c>
      <c r="Q48" s="607">
        <v>97308</v>
      </c>
      <c r="R48" s="507">
        <f t="shared" si="2"/>
        <v>-5.8</v>
      </c>
      <c r="S48" s="607">
        <f>V48-P48</f>
        <v>56308</v>
      </c>
      <c r="T48" s="607">
        <f>W48-Q48</f>
        <v>56951</v>
      </c>
      <c r="U48" s="507">
        <f t="shared" si="3"/>
        <v>1.1000000000000001</v>
      </c>
      <c r="V48" s="607">
        <v>159612</v>
      </c>
      <c r="W48" s="607">
        <v>154259</v>
      </c>
      <c r="X48" s="507">
        <f t="shared" si="4"/>
        <v>-3.4</v>
      </c>
      <c r="Y48" s="607">
        <f>AB48-V48</f>
        <v>53110</v>
      </c>
      <c r="Z48" s="607">
        <f>AC48-W48</f>
        <v>59300</v>
      </c>
      <c r="AA48" s="507">
        <f t="shared" si="5"/>
        <v>11.7</v>
      </c>
      <c r="AB48" s="607">
        <v>212722</v>
      </c>
      <c r="AC48" s="607">
        <v>213559</v>
      </c>
      <c r="AD48" s="507">
        <f t="shared" si="6"/>
        <v>0.4</v>
      </c>
      <c r="AE48" s="607">
        <f>AH48-AB48</f>
        <v>46587</v>
      </c>
      <c r="AF48" s="607">
        <f>AI48-AC48</f>
        <v>58152</v>
      </c>
      <c r="AG48" s="507">
        <f t="shared" si="7"/>
        <v>24.8</v>
      </c>
      <c r="AH48" s="607">
        <v>259309</v>
      </c>
      <c r="AI48" s="607">
        <v>271711</v>
      </c>
      <c r="AJ48" s="507">
        <f t="shared" si="8"/>
        <v>4.8</v>
      </c>
    </row>
    <row r="49" spans="1:36" ht="22.5" customHeight="1">
      <c r="A49" s="668"/>
      <c r="B49" s="753"/>
      <c r="C49" s="756"/>
      <c r="D49" s="665" t="s">
        <v>8</v>
      </c>
      <c r="E49" s="411">
        <v>1110878</v>
      </c>
      <c r="F49" s="196">
        <v>1363691</v>
      </c>
      <c r="G49" s="174">
        <v>1607454</v>
      </c>
      <c r="H49" s="401">
        <v>1631984</v>
      </c>
      <c r="I49" s="606">
        <v>1569758</v>
      </c>
      <c r="J49" s="606">
        <v>136481</v>
      </c>
      <c r="K49" s="606">
        <v>149687</v>
      </c>
      <c r="L49" s="505">
        <f t="shared" si="0"/>
        <v>9.6999999999999993</v>
      </c>
      <c r="M49" s="606">
        <f>P49-J49</f>
        <v>133148</v>
      </c>
      <c r="N49" s="606">
        <f>Q49-K49</f>
        <v>133450</v>
      </c>
      <c r="O49" s="505">
        <f t="shared" si="1"/>
        <v>0.2</v>
      </c>
      <c r="P49" s="606">
        <v>269629</v>
      </c>
      <c r="Q49" s="606">
        <v>283137</v>
      </c>
      <c r="R49" s="505">
        <f t="shared" si="2"/>
        <v>5</v>
      </c>
      <c r="S49" s="606">
        <f>V49-P49</f>
        <v>142499</v>
      </c>
      <c r="T49" s="606">
        <f>W49-Q49</f>
        <v>168420</v>
      </c>
      <c r="U49" s="505">
        <f t="shared" si="3"/>
        <v>18.2</v>
      </c>
      <c r="V49" s="606">
        <v>412128</v>
      </c>
      <c r="W49" s="606">
        <v>451557</v>
      </c>
      <c r="X49" s="505">
        <f t="shared" si="4"/>
        <v>9.6</v>
      </c>
      <c r="Y49" s="606">
        <f>AB49-V49</f>
        <v>131906</v>
      </c>
      <c r="Z49" s="606">
        <f>AC49-W49</f>
        <v>185322</v>
      </c>
      <c r="AA49" s="505">
        <f t="shared" si="5"/>
        <v>40.5</v>
      </c>
      <c r="AB49" s="606">
        <v>544034</v>
      </c>
      <c r="AC49" s="606">
        <v>636879</v>
      </c>
      <c r="AD49" s="505">
        <f t="shared" si="6"/>
        <v>17.100000000000001</v>
      </c>
      <c r="AE49" s="606">
        <f>AH49-AB49</f>
        <v>111320</v>
      </c>
      <c r="AF49" s="606">
        <f>AI49-AC49</f>
        <v>189658</v>
      </c>
      <c r="AG49" s="505">
        <f t="shared" si="7"/>
        <v>70.400000000000006</v>
      </c>
      <c r="AH49" s="606">
        <v>655354</v>
      </c>
      <c r="AI49" s="606">
        <v>826537</v>
      </c>
      <c r="AJ49" s="505">
        <f t="shared" si="8"/>
        <v>26.1</v>
      </c>
    </row>
    <row r="50" spans="1:36" ht="22.5" customHeight="1">
      <c r="A50" s="668"/>
      <c r="B50" s="754"/>
      <c r="C50" s="757"/>
      <c r="D50" s="667" t="s">
        <v>9</v>
      </c>
      <c r="E50" s="415">
        <f t="shared" ref="E50:G50" si="68">E49/E48*1000</f>
        <v>2388.6972751668618</v>
      </c>
      <c r="F50" s="202">
        <f t="shared" si="68"/>
        <v>2717.4686742762406</v>
      </c>
      <c r="G50" s="178">
        <f t="shared" si="68"/>
        <v>2912.5028310518828</v>
      </c>
      <c r="H50" s="402">
        <f>H49/H48*1000</f>
        <v>2640.4730893999822</v>
      </c>
      <c r="I50" s="514">
        <f>I49/I48*1000</f>
        <v>2551.7923008522998</v>
      </c>
      <c r="J50" s="514">
        <f>J49/J48*1000</f>
        <v>2666.6341024989742</v>
      </c>
      <c r="K50" s="514">
        <f>K49/K48*1000</f>
        <v>2896.2521525453244</v>
      </c>
      <c r="L50" s="506">
        <f t="shared" si="0"/>
        <v>8.6</v>
      </c>
      <c r="M50" s="514">
        <f>M49/M48*1000</f>
        <v>2554.4960957734588</v>
      </c>
      <c r="N50" s="514">
        <f>N49/N48*1000</f>
        <v>2924.9315068493147</v>
      </c>
      <c r="O50" s="506">
        <f t="shared" si="1"/>
        <v>14.5</v>
      </c>
      <c r="P50" s="514">
        <f>P49/P48*1000</f>
        <v>2610.0538217300391</v>
      </c>
      <c r="Q50" s="514">
        <f>Q49/Q48*1000</f>
        <v>2909.6990997656926</v>
      </c>
      <c r="R50" s="506">
        <f t="shared" si="2"/>
        <v>11.5</v>
      </c>
      <c r="S50" s="514">
        <f>S49/S48*1000</f>
        <v>2530.7061163600197</v>
      </c>
      <c r="T50" s="514">
        <f>T49/T48*1000</f>
        <v>2957.2790644589209</v>
      </c>
      <c r="U50" s="506">
        <f t="shared" si="3"/>
        <v>16.899999999999999</v>
      </c>
      <c r="V50" s="514">
        <f>V49/V48*1000</f>
        <v>2582.0614991354032</v>
      </c>
      <c r="W50" s="514">
        <f t="shared" ref="W50" si="69">W49/W48*1000</f>
        <v>2927.2651838790607</v>
      </c>
      <c r="X50" s="506">
        <f t="shared" si="4"/>
        <v>13.4</v>
      </c>
      <c r="Y50" s="514">
        <f>Y49/Y48*1000</f>
        <v>2483.6377330069668</v>
      </c>
      <c r="Z50" s="514">
        <f>Z49/Z48*1000</f>
        <v>3125.1602023608771</v>
      </c>
      <c r="AA50" s="506">
        <f t="shared" si="5"/>
        <v>25.8</v>
      </c>
      <c r="AB50" s="514">
        <f>AB49/AB48*1000</f>
        <v>2557.4881770573802</v>
      </c>
      <c r="AC50" s="514">
        <f t="shared" ref="AC50" si="70">AC49/AC48*1000</f>
        <v>2982.2156874681004</v>
      </c>
      <c r="AD50" s="506">
        <f t="shared" si="6"/>
        <v>16.600000000000001</v>
      </c>
      <c r="AE50" s="514">
        <f>AE49/AE48*1000</f>
        <v>2389.5078026058773</v>
      </c>
      <c r="AF50" s="514">
        <f>AF49/AF48*1000</f>
        <v>3261.4183519053513</v>
      </c>
      <c r="AG50" s="506">
        <f t="shared" si="7"/>
        <v>36.5</v>
      </c>
      <c r="AH50" s="514">
        <f>AH49/AH48*1000</f>
        <v>2527.3091176935627</v>
      </c>
      <c r="AI50" s="514">
        <f t="shared" ref="AI50" si="71">AI49/AI48*1000</f>
        <v>3041.9710648446326</v>
      </c>
      <c r="AJ50" s="506">
        <f t="shared" si="8"/>
        <v>20.399999999999999</v>
      </c>
    </row>
    <row r="51" spans="1:36" ht="22.5" customHeight="1">
      <c r="A51" s="668" t="s">
        <v>12</v>
      </c>
      <c r="B51" s="752" t="s">
        <v>16</v>
      </c>
      <c r="C51" s="755">
        <v>7607</v>
      </c>
      <c r="D51" s="694" t="s">
        <v>569</v>
      </c>
      <c r="E51" s="414">
        <v>61488</v>
      </c>
      <c r="F51" s="201">
        <v>67631</v>
      </c>
      <c r="G51" s="177">
        <v>73563</v>
      </c>
      <c r="H51" s="520">
        <v>69943</v>
      </c>
      <c r="I51" s="607">
        <v>79608</v>
      </c>
      <c r="J51" s="607">
        <v>5608</v>
      </c>
      <c r="K51" s="607">
        <v>6479</v>
      </c>
      <c r="L51" s="507">
        <f t="shared" si="0"/>
        <v>15.5</v>
      </c>
      <c r="M51" s="607">
        <f>P51-J51</f>
        <v>5654</v>
      </c>
      <c r="N51" s="607">
        <f>Q51-K51</f>
        <v>6622</v>
      </c>
      <c r="O51" s="507">
        <f t="shared" si="1"/>
        <v>17.100000000000001</v>
      </c>
      <c r="P51" s="607">
        <v>11262</v>
      </c>
      <c r="Q51" s="607">
        <v>13101</v>
      </c>
      <c r="R51" s="507">
        <f t="shared" si="2"/>
        <v>16.3</v>
      </c>
      <c r="S51" s="607">
        <f>V51-P51</f>
        <v>6837</v>
      </c>
      <c r="T51" s="607">
        <f>W51-Q51</f>
        <v>7648</v>
      </c>
      <c r="U51" s="507">
        <f t="shared" si="3"/>
        <v>11.9</v>
      </c>
      <c r="V51" s="607">
        <v>18099</v>
      </c>
      <c r="W51" s="607">
        <v>20749</v>
      </c>
      <c r="X51" s="507">
        <f t="shared" si="4"/>
        <v>14.6</v>
      </c>
      <c r="Y51" s="607">
        <f>AB51-V51</f>
        <v>6578</v>
      </c>
      <c r="Z51" s="607">
        <f>AC51-W51</f>
        <v>7495</v>
      </c>
      <c r="AA51" s="507">
        <f t="shared" si="5"/>
        <v>13.9</v>
      </c>
      <c r="AB51" s="607">
        <v>24677</v>
      </c>
      <c r="AC51" s="607">
        <v>28244</v>
      </c>
      <c r="AD51" s="507">
        <f t="shared" si="6"/>
        <v>14.5</v>
      </c>
      <c r="AE51" s="607">
        <f>AH51-AB51</f>
        <v>6318</v>
      </c>
      <c r="AF51" s="607">
        <f>AI51-AC51</f>
        <v>7017</v>
      </c>
      <c r="AG51" s="507">
        <f t="shared" si="7"/>
        <v>11.1</v>
      </c>
      <c r="AH51" s="607">
        <v>30995</v>
      </c>
      <c r="AI51" s="607">
        <v>35261</v>
      </c>
      <c r="AJ51" s="507">
        <f t="shared" si="8"/>
        <v>13.8</v>
      </c>
    </row>
    <row r="52" spans="1:36" ht="22.5" customHeight="1">
      <c r="A52" s="668"/>
      <c r="B52" s="753"/>
      <c r="C52" s="756"/>
      <c r="D52" s="665" t="s">
        <v>8</v>
      </c>
      <c r="E52" s="411">
        <v>305896</v>
      </c>
      <c r="F52" s="196">
        <v>353107</v>
      </c>
      <c r="G52" s="174">
        <v>414850</v>
      </c>
      <c r="H52" s="401">
        <v>365062</v>
      </c>
      <c r="I52" s="606">
        <v>391036</v>
      </c>
      <c r="J52" s="606">
        <v>28101</v>
      </c>
      <c r="K52" s="606">
        <v>36057</v>
      </c>
      <c r="L52" s="505">
        <f t="shared" si="0"/>
        <v>28.3</v>
      </c>
      <c r="M52" s="606">
        <f>P52-J52</f>
        <v>27968</v>
      </c>
      <c r="N52" s="606">
        <f>Q52-K52</f>
        <v>34510</v>
      </c>
      <c r="O52" s="505">
        <f t="shared" si="1"/>
        <v>23.4</v>
      </c>
      <c r="P52" s="606">
        <v>56069</v>
      </c>
      <c r="Q52" s="606">
        <v>70567</v>
      </c>
      <c r="R52" s="505">
        <f t="shared" si="2"/>
        <v>25.9</v>
      </c>
      <c r="S52" s="606">
        <f>V52-P52</f>
        <v>33409</v>
      </c>
      <c r="T52" s="606">
        <f>W52-Q52</f>
        <v>42581</v>
      </c>
      <c r="U52" s="505">
        <f t="shared" si="3"/>
        <v>27.5</v>
      </c>
      <c r="V52" s="606">
        <v>89478</v>
      </c>
      <c r="W52" s="606">
        <v>113148</v>
      </c>
      <c r="X52" s="505">
        <f t="shared" si="4"/>
        <v>26.5</v>
      </c>
      <c r="Y52" s="606">
        <f>AB52-V52</f>
        <v>32409</v>
      </c>
      <c r="Z52" s="606">
        <f>AC52-W52</f>
        <v>42323</v>
      </c>
      <c r="AA52" s="505">
        <f t="shared" si="5"/>
        <v>30.6</v>
      </c>
      <c r="AB52" s="606">
        <v>121887</v>
      </c>
      <c r="AC52" s="606">
        <v>155471</v>
      </c>
      <c r="AD52" s="505">
        <f t="shared" si="6"/>
        <v>27.6</v>
      </c>
      <c r="AE52" s="606">
        <f>AH52-AB52</f>
        <v>30848</v>
      </c>
      <c r="AF52" s="606">
        <f>AI52-AC52</f>
        <v>41680</v>
      </c>
      <c r="AG52" s="505">
        <f t="shared" si="7"/>
        <v>35.1</v>
      </c>
      <c r="AH52" s="606">
        <v>152735</v>
      </c>
      <c r="AI52" s="606">
        <v>197151</v>
      </c>
      <c r="AJ52" s="505">
        <f t="shared" si="8"/>
        <v>29.1</v>
      </c>
    </row>
    <row r="53" spans="1:36" ht="22.5" customHeight="1">
      <c r="A53" s="668"/>
      <c r="B53" s="754"/>
      <c r="C53" s="757"/>
      <c r="D53" s="667" t="s">
        <v>9</v>
      </c>
      <c r="E53" s="415">
        <f t="shared" ref="E53:G53" si="72">E52/E51*1000</f>
        <v>4974.8894093156387</v>
      </c>
      <c r="F53" s="202">
        <f t="shared" si="72"/>
        <v>5221.0820481731744</v>
      </c>
      <c r="G53" s="178">
        <f t="shared" si="72"/>
        <v>5639.3839294210402</v>
      </c>
      <c r="H53" s="402">
        <f>H52/H51*1000</f>
        <v>5219.4215289592958</v>
      </c>
      <c r="I53" s="514">
        <f>I52/I51*1000</f>
        <v>4912.0188925736102</v>
      </c>
      <c r="J53" s="514">
        <f>J52/J51*1000</f>
        <v>5010.8773181169763</v>
      </c>
      <c r="K53" s="514">
        <f>K52/K51*1000</f>
        <v>5565.2106806605962</v>
      </c>
      <c r="L53" s="506">
        <f t="shared" si="0"/>
        <v>11.1</v>
      </c>
      <c r="M53" s="514">
        <f>M52/M51*1000</f>
        <v>4946.5864874425179</v>
      </c>
      <c r="N53" s="514">
        <f>N52/N51*1000</f>
        <v>5211.4164904862573</v>
      </c>
      <c r="O53" s="506">
        <f t="shared" si="1"/>
        <v>5.4</v>
      </c>
      <c r="P53" s="514">
        <f>P52/P51*1000</f>
        <v>4978.6006038003907</v>
      </c>
      <c r="Q53" s="514">
        <f>Q52/Q51*1000</f>
        <v>5386.3827188764217</v>
      </c>
      <c r="R53" s="506">
        <f t="shared" si="2"/>
        <v>8.1999999999999993</v>
      </c>
      <c r="S53" s="514">
        <f>S52/S51*1000</f>
        <v>4886.4999268685096</v>
      </c>
      <c r="T53" s="514">
        <f>T52/T51*1000</f>
        <v>5567.5993723849379</v>
      </c>
      <c r="U53" s="506">
        <f t="shared" si="3"/>
        <v>13.9</v>
      </c>
      <c r="V53" s="514">
        <f>V52/V51*1000</f>
        <v>4943.8090502237692</v>
      </c>
      <c r="W53" s="514">
        <f t="shared" ref="W53" si="73">W52/W51*1000</f>
        <v>5453.1784664321176</v>
      </c>
      <c r="X53" s="506">
        <f t="shared" si="4"/>
        <v>10.3</v>
      </c>
      <c r="Y53" s="514">
        <f>Y52/Y51*1000</f>
        <v>4926.877470355731</v>
      </c>
      <c r="Z53" s="514">
        <f>Z52/Z51*1000</f>
        <v>5646.8312208138759</v>
      </c>
      <c r="AA53" s="506">
        <f t="shared" si="5"/>
        <v>14.6</v>
      </c>
      <c r="AB53" s="514">
        <f>AB52/AB51*1000</f>
        <v>4939.2957004498112</v>
      </c>
      <c r="AC53" s="514">
        <f t="shared" ref="AC53" si="74">AC52/AC51*1000</f>
        <v>5504.5673417362977</v>
      </c>
      <c r="AD53" s="506">
        <f t="shared" si="6"/>
        <v>11.4</v>
      </c>
      <c r="AE53" s="514">
        <f>AE52/AE51*1000</f>
        <v>4882.5577714466608</v>
      </c>
      <c r="AF53" s="514">
        <f>AF52/AF51*1000</f>
        <v>5939.8603391762863</v>
      </c>
      <c r="AG53" s="506">
        <f t="shared" si="7"/>
        <v>21.7</v>
      </c>
      <c r="AH53" s="514">
        <f>AH52/AH51*1000</f>
        <v>4927.7302790772701</v>
      </c>
      <c r="AI53" s="514">
        <f t="shared" ref="AI53" si="75">AI52/AI51*1000</f>
        <v>5591.191401264854</v>
      </c>
      <c r="AJ53" s="506">
        <f t="shared" si="8"/>
        <v>13.5</v>
      </c>
    </row>
    <row r="54" spans="1:36" ht="22.5" customHeight="1">
      <c r="A54" s="668"/>
      <c r="B54" s="752" t="s">
        <v>23</v>
      </c>
      <c r="C54" s="755">
        <v>7610</v>
      </c>
      <c r="D54" s="694" t="s">
        <v>569</v>
      </c>
      <c r="E54" s="414">
        <v>25668</v>
      </c>
      <c r="F54" s="201">
        <v>30038</v>
      </c>
      <c r="G54" s="177">
        <v>52161</v>
      </c>
      <c r="H54" s="520">
        <v>40148</v>
      </c>
      <c r="I54" s="450">
        <v>26626</v>
      </c>
      <c r="J54" s="439">
        <v>1925</v>
      </c>
      <c r="K54" s="439">
        <v>2198</v>
      </c>
      <c r="L54" s="507">
        <f t="shared" si="0"/>
        <v>14.2</v>
      </c>
      <c r="M54" s="607">
        <f>P54-J54</f>
        <v>2266</v>
      </c>
      <c r="N54" s="607">
        <f>Q54-K54</f>
        <v>2137</v>
      </c>
      <c r="O54" s="507">
        <f t="shared" si="1"/>
        <v>-5.7</v>
      </c>
      <c r="P54" s="450">
        <v>4191</v>
      </c>
      <c r="Q54" s="450">
        <v>4335</v>
      </c>
      <c r="R54" s="507">
        <f t="shared" si="2"/>
        <v>3.4</v>
      </c>
      <c r="S54" s="607">
        <f>V54-P54</f>
        <v>2364</v>
      </c>
      <c r="T54" s="607">
        <f>W54-Q54</f>
        <v>2364</v>
      </c>
      <c r="U54" s="507">
        <f t="shared" si="3"/>
        <v>0</v>
      </c>
      <c r="V54" s="450">
        <v>6555</v>
      </c>
      <c r="W54" s="607">
        <v>6699</v>
      </c>
      <c r="X54" s="507">
        <f t="shared" si="4"/>
        <v>2.2000000000000002</v>
      </c>
      <c r="Y54" s="607">
        <f>AB54-V54</f>
        <v>2325</v>
      </c>
      <c r="Z54" s="607">
        <f>AC54-W54</f>
        <v>2199</v>
      </c>
      <c r="AA54" s="507">
        <f t="shared" si="5"/>
        <v>-5.4</v>
      </c>
      <c r="AB54" s="450">
        <v>8880</v>
      </c>
      <c r="AC54" s="607">
        <v>8898</v>
      </c>
      <c r="AD54" s="507">
        <f t="shared" si="6"/>
        <v>0.2</v>
      </c>
      <c r="AE54" s="607">
        <f>AH54-AB54</f>
        <v>1852</v>
      </c>
      <c r="AF54" s="607">
        <f>AI54-AC54</f>
        <v>2266</v>
      </c>
      <c r="AG54" s="507">
        <f t="shared" si="7"/>
        <v>22.4</v>
      </c>
      <c r="AH54" s="450">
        <v>10732</v>
      </c>
      <c r="AI54" s="607">
        <v>11164</v>
      </c>
      <c r="AJ54" s="507">
        <f t="shared" si="8"/>
        <v>4</v>
      </c>
    </row>
    <row r="55" spans="1:36" ht="22.5" customHeight="1">
      <c r="A55" s="668"/>
      <c r="B55" s="753"/>
      <c r="C55" s="756"/>
      <c r="D55" s="665" t="s">
        <v>8</v>
      </c>
      <c r="E55" s="411">
        <v>163569</v>
      </c>
      <c r="F55" s="196">
        <v>161157</v>
      </c>
      <c r="G55" s="174">
        <v>246940</v>
      </c>
      <c r="H55" s="401">
        <v>213677</v>
      </c>
      <c r="I55" s="519">
        <v>153871</v>
      </c>
      <c r="J55" s="519">
        <v>12174</v>
      </c>
      <c r="K55" s="519">
        <v>12356</v>
      </c>
      <c r="L55" s="504">
        <f t="shared" si="0"/>
        <v>1.5</v>
      </c>
      <c r="M55" s="519">
        <f>P55-J55</f>
        <v>14371</v>
      </c>
      <c r="N55" s="519">
        <f>Q55-K55</f>
        <v>11505</v>
      </c>
      <c r="O55" s="504">
        <f t="shared" si="1"/>
        <v>-19.899999999999999</v>
      </c>
      <c r="P55" s="519">
        <v>26545</v>
      </c>
      <c r="Q55" s="519">
        <v>23861</v>
      </c>
      <c r="R55" s="505">
        <f t="shared" si="2"/>
        <v>-10.1</v>
      </c>
      <c r="S55" s="519">
        <f>V55-P55</f>
        <v>13474</v>
      </c>
      <c r="T55" s="519">
        <f>W55-Q55</f>
        <v>12533</v>
      </c>
      <c r="U55" s="504">
        <f t="shared" si="3"/>
        <v>-7</v>
      </c>
      <c r="V55" s="519">
        <v>40019</v>
      </c>
      <c r="W55" s="606">
        <v>36394</v>
      </c>
      <c r="X55" s="505">
        <f t="shared" si="4"/>
        <v>-9.1</v>
      </c>
      <c r="Y55" s="519">
        <f>AB55-V55</f>
        <v>13233</v>
      </c>
      <c r="Z55" s="519">
        <f>AC55-W55</f>
        <v>11822</v>
      </c>
      <c r="AA55" s="504">
        <f t="shared" si="5"/>
        <v>-10.7</v>
      </c>
      <c r="AB55" s="519">
        <v>53252</v>
      </c>
      <c r="AC55" s="606">
        <v>48216</v>
      </c>
      <c r="AD55" s="505">
        <f t="shared" si="6"/>
        <v>-9.5</v>
      </c>
      <c r="AE55" s="519">
        <f>AH55-AB55</f>
        <v>9673</v>
      </c>
      <c r="AF55" s="519">
        <f>AI55-AC55</f>
        <v>12455</v>
      </c>
      <c r="AG55" s="504">
        <f t="shared" si="7"/>
        <v>28.8</v>
      </c>
      <c r="AH55" s="519">
        <v>62925</v>
      </c>
      <c r="AI55" s="606">
        <v>60671</v>
      </c>
      <c r="AJ55" s="505">
        <f t="shared" si="8"/>
        <v>-3.6</v>
      </c>
    </row>
    <row r="56" spans="1:36" ht="22.5" customHeight="1">
      <c r="A56" s="668"/>
      <c r="B56" s="754"/>
      <c r="C56" s="757"/>
      <c r="D56" s="667" t="s">
        <v>9</v>
      </c>
      <c r="E56" s="415">
        <f t="shared" ref="E56:G56" si="76">E55/E54*1000</f>
        <v>6372.4871435250116</v>
      </c>
      <c r="F56" s="202">
        <f t="shared" si="76"/>
        <v>5365.1042013449633</v>
      </c>
      <c r="G56" s="178">
        <f t="shared" si="76"/>
        <v>4734.1883782902942</v>
      </c>
      <c r="H56" s="402">
        <f>H55/H54*1000</f>
        <v>5322.2327388661952</v>
      </c>
      <c r="I56" s="514">
        <f>I55/I54*1000</f>
        <v>5778.9754375422526</v>
      </c>
      <c r="J56" s="514">
        <f>J55/J54*1000</f>
        <v>6324.1558441558445</v>
      </c>
      <c r="K56" s="514">
        <f>K55/K54*1000</f>
        <v>5621.4740673339402</v>
      </c>
      <c r="L56" s="506">
        <f t="shared" si="0"/>
        <v>-11.1</v>
      </c>
      <c r="M56" s="514">
        <f>M55/M54*1000</f>
        <v>6342.0123565754639</v>
      </c>
      <c r="N56" s="514">
        <f>N55/N54*1000</f>
        <v>5383.7154890032753</v>
      </c>
      <c r="O56" s="506">
        <f t="shared" si="1"/>
        <v>-15.1</v>
      </c>
      <c r="P56" s="514">
        <f>P55/P54*1000</f>
        <v>6333.8105464089722</v>
      </c>
      <c r="Q56" s="514">
        <f>Q55/Q54*1000</f>
        <v>5504.2675893886963</v>
      </c>
      <c r="R56" s="506">
        <f t="shared" si="2"/>
        <v>-13.1</v>
      </c>
      <c r="S56" s="514">
        <f>S55/S54*1000</f>
        <v>5699.6615905245353</v>
      </c>
      <c r="T56" s="514">
        <f>T55/T54*1000</f>
        <v>5301.6074450084598</v>
      </c>
      <c r="U56" s="506">
        <f t="shared" si="3"/>
        <v>-7</v>
      </c>
      <c r="V56" s="514">
        <f>V55/V54*1000</f>
        <v>6105.1106025934396</v>
      </c>
      <c r="W56" s="514">
        <f t="shared" ref="W56" si="77">W55/W54*1000</f>
        <v>5432.7511568890877</v>
      </c>
      <c r="X56" s="506">
        <f t="shared" si="4"/>
        <v>-11</v>
      </c>
      <c r="Y56" s="514">
        <f>Y55/Y54*1000</f>
        <v>5691.6129032258059</v>
      </c>
      <c r="Z56" s="514">
        <f>Z55/Z54*1000</f>
        <v>5376.0800363801727</v>
      </c>
      <c r="AA56" s="506">
        <f t="shared" si="5"/>
        <v>-5.5</v>
      </c>
      <c r="AB56" s="514">
        <f>AB55/AB54*1000</f>
        <v>5996.8468468468463</v>
      </c>
      <c r="AC56" s="514">
        <f t="shared" ref="AC56" si="78">AC55/AC54*1000</f>
        <v>5418.7457855697912</v>
      </c>
      <c r="AD56" s="506">
        <f t="shared" si="6"/>
        <v>-9.6</v>
      </c>
      <c r="AE56" s="514">
        <f>AE55/AE54*1000</f>
        <v>5223.0021598272142</v>
      </c>
      <c r="AF56" s="514">
        <f>AF55/AF54*1000</f>
        <v>5496.4695498676074</v>
      </c>
      <c r="AG56" s="506">
        <f t="shared" si="7"/>
        <v>5.2</v>
      </c>
      <c r="AH56" s="514">
        <f>AH55/AH54*1000</f>
        <v>5863.3060007454342</v>
      </c>
      <c r="AI56" s="514">
        <f t="shared" ref="AI56" si="79">AI55/AI54*1000</f>
        <v>5434.5216768183445</v>
      </c>
      <c r="AJ56" s="506">
        <f t="shared" si="8"/>
        <v>-7.3</v>
      </c>
    </row>
    <row r="57" spans="1:36" ht="22.5" customHeight="1">
      <c r="A57" s="668"/>
      <c r="B57" s="795" t="s">
        <v>24</v>
      </c>
      <c r="C57" s="755">
        <v>7615</v>
      </c>
      <c r="D57" s="694" t="s">
        <v>569</v>
      </c>
      <c r="E57" s="414">
        <v>21694</v>
      </c>
      <c r="F57" s="201">
        <v>19610</v>
      </c>
      <c r="G57" s="177">
        <v>16919</v>
      </c>
      <c r="H57" s="520">
        <v>14937</v>
      </c>
      <c r="I57" s="607">
        <v>17317</v>
      </c>
      <c r="J57" s="607">
        <v>1100</v>
      </c>
      <c r="K57" s="607">
        <v>1506</v>
      </c>
      <c r="L57" s="507">
        <f t="shared" si="0"/>
        <v>36.9</v>
      </c>
      <c r="M57" s="607">
        <f>P57-J57</f>
        <v>1097</v>
      </c>
      <c r="N57" s="607">
        <f>Q57-K57</f>
        <v>1359</v>
      </c>
      <c r="O57" s="507">
        <f t="shared" si="1"/>
        <v>23.9</v>
      </c>
      <c r="P57" s="607">
        <v>2197</v>
      </c>
      <c r="Q57" s="607">
        <v>2865</v>
      </c>
      <c r="R57" s="507">
        <f t="shared" si="2"/>
        <v>30.4</v>
      </c>
      <c r="S57" s="607">
        <f>V57-P57</f>
        <v>1481</v>
      </c>
      <c r="T57" s="607">
        <f>W57-Q57</f>
        <v>1466</v>
      </c>
      <c r="U57" s="507">
        <f t="shared" si="3"/>
        <v>-1</v>
      </c>
      <c r="V57" s="607">
        <v>3678</v>
      </c>
      <c r="W57" s="607">
        <v>4331</v>
      </c>
      <c r="X57" s="507">
        <f t="shared" si="4"/>
        <v>17.8</v>
      </c>
      <c r="Y57" s="607">
        <f>AB57-V57</f>
        <v>1218</v>
      </c>
      <c r="Z57" s="607">
        <f>AC57-W57</f>
        <v>1477</v>
      </c>
      <c r="AA57" s="507">
        <f t="shared" si="5"/>
        <v>21.3</v>
      </c>
      <c r="AB57" s="607">
        <v>4896</v>
      </c>
      <c r="AC57" s="607">
        <v>5808</v>
      </c>
      <c r="AD57" s="507">
        <f t="shared" si="6"/>
        <v>18.600000000000001</v>
      </c>
      <c r="AE57" s="607">
        <f>AH57-AB57</f>
        <v>1243</v>
      </c>
      <c r="AF57" s="607">
        <f>AI57-AC57</f>
        <v>1329</v>
      </c>
      <c r="AG57" s="507">
        <f t="shared" si="7"/>
        <v>6.9</v>
      </c>
      <c r="AH57" s="607">
        <v>6139</v>
      </c>
      <c r="AI57" s="607">
        <v>7137</v>
      </c>
      <c r="AJ57" s="507">
        <f t="shared" si="8"/>
        <v>16.3</v>
      </c>
    </row>
    <row r="58" spans="1:36" ht="22.5" customHeight="1">
      <c r="A58" s="668"/>
      <c r="B58" s="796"/>
      <c r="C58" s="756"/>
      <c r="D58" s="665" t="s">
        <v>8</v>
      </c>
      <c r="E58" s="411">
        <v>189817</v>
      </c>
      <c r="F58" s="196">
        <v>166699</v>
      </c>
      <c r="G58" s="174">
        <v>146241</v>
      </c>
      <c r="H58" s="401">
        <v>135734</v>
      </c>
      <c r="I58" s="606">
        <v>155702</v>
      </c>
      <c r="J58" s="606">
        <v>9682</v>
      </c>
      <c r="K58" s="606">
        <v>13172</v>
      </c>
      <c r="L58" s="505">
        <f t="shared" si="0"/>
        <v>36</v>
      </c>
      <c r="M58" s="606">
        <f>P58-J58</f>
        <v>9813</v>
      </c>
      <c r="N58" s="606">
        <f>Q58-K58</f>
        <v>12515</v>
      </c>
      <c r="O58" s="505">
        <f t="shared" si="1"/>
        <v>27.5</v>
      </c>
      <c r="P58" s="606">
        <v>19495</v>
      </c>
      <c r="Q58" s="606">
        <v>25687</v>
      </c>
      <c r="R58" s="505">
        <f t="shared" si="2"/>
        <v>31.8</v>
      </c>
      <c r="S58" s="606">
        <f>V58-P58</f>
        <v>13399</v>
      </c>
      <c r="T58" s="606">
        <f>W58-Q58</f>
        <v>13523</v>
      </c>
      <c r="U58" s="505">
        <f t="shared" si="3"/>
        <v>0.9</v>
      </c>
      <c r="V58" s="606">
        <v>32894</v>
      </c>
      <c r="W58" s="606">
        <v>39210</v>
      </c>
      <c r="X58" s="505">
        <f t="shared" si="4"/>
        <v>19.2</v>
      </c>
      <c r="Y58" s="606">
        <f>AB58-V58</f>
        <v>10772</v>
      </c>
      <c r="Z58" s="606">
        <f>AC58-W58</f>
        <v>13608</v>
      </c>
      <c r="AA58" s="505">
        <f t="shared" si="5"/>
        <v>26.3</v>
      </c>
      <c r="AB58" s="606">
        <v>43666</v>
      </c>
      <c r="AC58" s="606">
        <v>52818</v>
      </c>
      <c r="AD58" s="505">
        <f t="shared" si="6"/>
        <v>21</v>
      </c>
      <c r="AE58" s="606">
        <f>AH58-AB58</f>
        <v>10855</v>
      </c>
      <c r="AF58" s="606">
        <f>AI58-AC58</f>
        <v>12026</v>
      </c>
      <c r="AG58" s="505">
        <f t="shared" si="7"/>
        <v>10.8</v>
      </c>
      <c r="AH58" s="606">
        <v>54521</v>
      </c>
      <c r="AI58" s="606">
        <v>64844</v>
      </c>
      <c r="AJ58" s="505">
        <f t="shared" si="8"/>
        <v>18.899999999999999</v>
      </c>
    </row>
    <row r="59" spans="1:36" ht="22.5" customHeight="1">
      <c r="A59" s="668"/>
      <c r="B59" s="797"/>
      <c r="C59" s="757"/>
      <c r="D59" s="667" t="s">
        <v>9</v>
      </c>
      <c r="E59" s="415">
        <f t="shared" ref="E59:G59" si="80">E58/E57*1000</f>
        <v>8749.746473679359</v>
      </c>
      <c r="F59" s="202">
        <f t="shared" si="80"/>
        <v>8500.7139214686376</v>
      </c>
      <c r="G59" s="178">
        <f t="shared" si="80"/>
        <v>8643.5959572078737</v>
      </c>
      <c r="H59" s="402">
        <f>H58/H57*1000</f>
        <v>9087.0991497623345</v>
      </c>
      <c r="I59" s="514">
        <f>I58/I57*1000</f>
        <v>8991.2802448461061</v>
      </c>
      <c r="J59" s="514">
        <f>J58/J57*1000</f>
        <v>8801.818181818182</v>
      </c>
      <c r="K59" s="514">
        <f>K58/K57*1000</f>
        <v>8746.3479415670645</v>
      </c>
      <c r="L59" s="506">
        <f t="shared" si="0"/>
        <v>-0.6</v>
      </c>
      <c r="M59" s="514">
        <f>M58/M57*1000</f>
        <v>8945.305378304467</v>
      </c>
      <c r="N59" s="514">
        <f>N58/N57*1000</f>
        <v>9208.9771891096389</v>
      </c>
      <c r="O59" s="506">
        <f t="shared" si="1"/>
        <v>2.9</v>
      </c>
      <c r="P59" s="514">
        <f>P58/P57*1000</f>
        <v>8873.4638142922176</v>
      </c>
      <c r="Q59" s="514">
        <f>Q58/Q57*1000</f>
        <v>8965.794066317625</v>
      </c>
      <c r="R59" s="506">
        <f t="shared" si="2"/>
        <v>1</v>
      </c>
      <c r="S59" s="514">
        <f>S58/S57*1000</f>
        <v>9047.2653612424037</v>
      </c>
      <c r="T59" s="514">
        <f>T58/T57*1000</f>
        <v>9224.4201909959065</v>
      </c>
      <c r="U59" s="506">
        <f t="shared" si="3"/>
        <v>2</v>
      </c>
      <c r="V59" s="514">
        <f>V58/V57*1000</f>
        <v>8943.447525829255</v>
      </c>
      <c r="W59" s="514">
        <f t="shared" ref="W59" si="81">W58/W57*1000</f>
        <v>9053.3364119141079</v>
      </c>
      <c r="X59" s="506">
        <f t="shared" si="4"/>
        <v>1.2</v>
      </c>
      <c r="Y59" s="514">
        <f>Y58/Y57*1000</f>
        <v>8844.0065681444994</v>
      </c>
      <c r="Z59" s="514">
        <f>Z58/Z57*1000</f>
        <v>9213.2701421800957</v>
      </c>
      <c r="AA59" s="506">
        <f t="shared" si="5"/>
        <v>4.2</v>
      </c>
      <c r="AB59" s="514">
        <f>AB58/AB57*1000</f>
        <v>8918.7091503267984</v>
      </c>
      <c r="AC59" s="514">
        <f t="shared" ref="AC59" si="82">AC58/AC57*1000</f>
        <v>9094.0082644628092</v>
      </c>
      <c r="AD59" s="506">
        <f t="shared" si="6"/>
        <v>2</v>
      </c>
      <c r="AE59" s="514">
        <f>AE58/AE57*1000</f>
        <v>8732.9042638777155</v>
      </c>
      <c r="AF59" s="514">
        <f>AF58/AF57*1000</f>
        <v>9048.908954100827</v>
      </c>
      <c r="AG59" s="506">
        <f t="shared" si="7"/>
        <v>3.6</v>
      </c>
      <c r="AH59" s="514">
        <f>AH58/AH57*1000</f>
        <v>8881.0881251018072</v>
      </c>
      <c r="AI59" s="514">
        <f t="shared" ref="AI59" si="83">AI58/AI57*1000</f>
        <v>9085.6102003642991</v>
      </c>
      <c r="AJ59" s="506">
        <f t="shared" si="8"/>
        <v>2.2999999999999998</v>
      </c>
    </row>
    <row r="60" spans="1:36" ht="22.5" customHeight="1">
      <c r="A60" s="668"/>
      <c r="B60" s="752" t="s">
        <v>18</v>
      </c>
      <c r="C60" s="755"/>
      <c r="D60" s="694" t="s">
        <v>569</v>
      </c>
      <c r="E60" s="414">
        <f t="shared" ref="E60:G61" si="84">E63-SUM(E36+E39+E42+E45+E48+E51+E54+E57)</f>
        <v>89524</v>
      </c>
      <c r="F60" s="201">
        <f t="shared" si="84"/>
        <v>91886</v>
      </c>
      <c r="G60" s="177">
        <f>G63-SUM(G36+G39+G42+G45+G48+G51+G54+G57)</f>
        <v>73476</v>
      </c>
      <c r="H60" s="520">
        <f>H63-SUM(H36+H39+H42+H45+H48+H51+H54+H57)</f>
        <v>78502</v>
      </c>
      <c r="I60" s="607">
        <f>I63-SUM(I36+I39+I42+I45+I48+I51+I54+I57)</f>
        <v>76999</v>
      </c>
      <c r="J60" s="607">
        <f>J63-SUM(J36+J39+J42+J45+J48+J51+J54+J57)</f>
        <v>6412</v>
      </c>
      <c r="K60" s="607">
        <f>K63-SUM(K36+K39+K42+K45+K48+K51+K54+K57)</f>
        <v>6775</v>
      </c>
      <c r="L60" s="507">
        <f t="shared" si="0"/>
        <v>5.7</v>
      </c>
      <c r="M60" s="607">
        <f>M63-SUM(M36+M39+M42+M45+M48+M51+M54+M57)</f>
        <v>4707</v>
      </c>
      <c r="N60" s="607">
        <f>N63-SUM(N36+N39+N42+N45+N48+N51+N54+N57)</f>
        <v>6482</v>
      </c>
      <c r="O60" s="507">
        <f t="shared" si="1"/>
        <v>37.700000000000003</v>
      </c>
      <c r="P60" s="607">
        <f>P63-SUM(P36+P39+P42+P45+P48+P51+P54+P57)</f>
        <v>11119</v>
      </c>
      <c r="Q60" s="607">
        <f>Q63-SUM(Q36+Q39+Q42+Q45+Q48+Q51+Q54+Q57)</f>
        <v>13257</v>
      </c>
      <c r="R60" s="507">
        <f t="shared" si="2"/>
        <v>19.2</v>
      </c>
      <c r="S60" s="607">
        <f>S63-SUM(S36+S39+S42+S45+S48+S51+S54+S57)</f>
        <v>6196</v>
      </c>
      <c r="T60" s="607">
        <f>T63-SUM(T36+T39+T42+T45+T48+T51+T54+T57)</f>
        <v>7848</v>
      </c>
      <c r="U60" s="507">
        <f t="shared" si="3"/>
        <v>26.7</v>
      </c>
      <c r="V60" s="607">
        <f>V63-SUM(V36+V39+V42+V45+V48+V51+V54+V57)</f>
        <v>17315</v>
      </c>
      <c r="W60" s="607">
        <f>W63-SUM(W36+W39+W42+W45+W48+W51+W54+W57)</f>
        <v>21105</v>
      </c>
      <c r="X60" s="507">
        <f t="shared" si="4"/>
        <v>21.9</v>
      </c>
      <c r="Y60" s="607">
        <f>Y63-SUM(Y36+Y39+Y42+Y45+Y48+Y51+Y54+Y57)</f>
        <v>5747</v>
      </c>
      <c r="Z60" s="607">
        <f>Z63-SUM(Z36+Z39+Z42+Z45+Z48+Z51+Z54+Z57)</f>
        <v>8349</v>
      </c>
      <c r="AA60" s="507">
        <f t="shared" si="5"/>
        <v>45.3</v>
      </c>
      <c r="AB60" s="607">
        <f>AB63-SUM(AB36+AB39+AB42+AB45+AB48+AB51+AB54+AB57)</f>
        <v>23062</v>
      </c>
      <c r="AC60" s="607">
        <f>AC63-SUM(AC36+AC39+AC42+AC45+AC48+AC51+AC54+AC57)</f>
        <v>29454</v>
      </c>
      <c r="AD60" s="507">
        <f t="shared" si="6"/>
        <v>27.7</v>
      </c>
      <c r="AE60" s="607">
        <f>AE63-SUM(AE36+AE39+AE42+AE45+AE48+AE51+AE54+AE57)</f>
        <v>5313</v>
      </c>
      <c r="AF60" s="607">
        <f>AF63-SUM(AF36+AF39+AF42+AF45+AF48+AF51+AF54+AF57)</f>
        <v>7515</v>
      </c>
      <c r="AG60" s="507">
        <f t="shared" si="7"/>
        <v>41.4</v>
      </c>
      <c r="AH60" s="607">
        <f>AH63-SUM(AH36+AH39+AH42+AH45+AH48+AH51+AH54+AH57)</f>
        <v>28375</v>
      </c>
      <c r="AI60" s="607">
        <f>AI63-SUM(AI36+AI39+AI42+AI45+AI48+AI51+AI54+AI57)</f>
        <v>36969</v>
      </c>
      <c r="AJ60" s="507">
        <f t="shared" si="8"/>
        <v>30.3</v>
      </c>
    </row>
    <row r="61" spans="1:36" ht="22.5" customHeight="1">
      <c r="A61" s="668"/>
      <c r="B61" s="753"/>
      <c r="C61" s="756"/>
      <c r="D61" s="665" t="s">
        <v>8</v>
      </c>
      <c r="E61" s="411">
        <f t="shared" si="84"/>
        <v>449155</v>
      </c>
      <c r="F61" s="196">
        <f t="shared" si="84"/>
        <v>506409</v>
      </c>
      <c r="G61" s="174">
        <f t="shared" si="84"/>
        <v>527294</v>
      </c>
      <c r="H61" s="401">
        <f>H64-SUM(H37+H40+H43+H46+H49+H52+H55+H58)</f>
        <v>536875</v>
      </c>
      <c r="I61" s="606">
        <f>I64-SUM(I37+I40+I43+I46+I49+I52+I55+I58)</f>
        <v>527023</v>
      </c>
      <c r="J61" s="606">
        <f>J64-SUM(J37+J40+J43+J46+J49+J52+J55+J58)</f>
        <v>45260</v>
      </c>
      <c r="K61" s="606">
        <f>K64-SUM(K37+K40+K43+K46+K49+K52+K55+K58)</f>
        <v>53348</v>
      </c>
      <c r="L61" s="505">
        <f t="shared" si="0"/>
        <v>17.899999999999999</v>
      </c>
      <c r="M61" s="606">
        <f>M64-SUM(M37+M40+M43+M46+M49+M52+M55+M58)</f>
        <v>39690</v>
      </c>
      <c r="N61" s="606">
        <f>N64-SUM(N37+N40+N43+N46+N49+N52+N55+N58)</f>
        <v>48353</v>
      </c>
      <c r="O61" s="505">
        <f t="shared" si="1"/>
        <v>21.8</v>
      </c>
      <c r="P61" s="606">
        <f>P64-SUM(P37+P40+P43+P46+P49+P52+P55+P58)</f>
        <v>84950</v>
      </c>
      <c r="Q61" s="606">
        <f>Q64-SUM(Q37+Q40+Q43+Q46+Q49+Q52+Q55+Q58)</f>
        <v>101701</v>
      </c>
      <c r="R61" s="505">
        <f t="shared" si="2"/>
        <v>19.7</v>
      </c>
      <c r="S61" s="606">
        <f>S64-SUM(S37+S40+S43+S46+S49+S52+S55+S58)</f>
        <v>51059</v>
      </c>
      <c r="T61" s="606">
        <f>T64-SUM(T37+T40+T43+T46+T49+T52+T55+T58)</f>
        <v>55798</v>
      </c>
      <c r="U61" s="505">
        <f t="shared" si="3"/>
        <v>9.3000000000000007</v>
      </c>
      <c r="V61" s="606">
        <f>V64-SUM(V37+V40+V43+V46+V49+V52+V55+V58)</f>
        <v>136009</v>
      </c>
      <c r="W61" s="606">
        <f>W64-SUM(W37+W40+W43+W46+W49+W52+W55+W58)</f>
        <v>157499</v>
      </c>
      <c r="X61" s="505">
        <f t="shared" si="4"/>
        <v>15.8</v>
      </c>
      <c r="Y61" s="606">
        <f>Y64-SUM(Y37+Y40+Y43+Y46+Y49+Y52+Y55+Y58)</f>
        <v>38368</v>
      </c>
      <c r="Z61" s="606">
        <f>Z64-SUM(Z37+Z40+Z43+Z46+Z49+Z52+Z55+Z58)</f>
        <v>56834</v>
      </c>
      <c r="AA61" s="505">
        <f t="shared" si="5"/>
        <v>48.1</v>
      </c>
      <c r="AB61" s="606">
        <f>AB64-SUM(AB37+AB40+AB43+AB46+AB49+AB52+AB55+AB58)</f>
        <v>174377</v>
      </c>
      <c r="AC61" s="606">
        <f>AC64-SUM(AC37+AC40+AC43+AC46+AC49+AC52+AC55+AC58)</f>
        <v>214333</v>
      </c>
      <c r="AD61" s="505">
        <f t="shared" si="6"/>
        <v>22.9</v>
      </c>
      <c r="AE61" s="606">
        <f>AE64-SUM(AE37+AE40+AE43+AE46+AE49+AE52+AE55+AE58)</f>
        <v>31466</v>
      </c>
      <c r="AF61" s="606">
        <f>AF64-SUM(AF37+AF40+AF43+AF46+AF49+AF52+AF55+AF58)</f>
        <v>49868</v>
      </c>
      <c r="AG61" s="505">
        <f t="shared" si="7"/>
        <v>58.5</v>
      </c>
      <c r="AH61" s="606">
        <f>AH64-SUM(AH37+AH40+AH43+AH46+AH49+AH52+AH55+AH58)</f>
        <v>205843</v>
      </c>
      <c r="AI61" s="606">
        <f>AI64-SUM(AI37+AI40+AI43+AI46+AI49+AI52+AI55+AI58)</f>
        <v>264201</v>
      </c>
      <c r="AJ61" s="505">
        <f t="shared" si="8"/>
        <v>28.4</v>
      </c>
    </row>
    <row r="62" spans="1:36" ht="22.5" customHeight="1">
      <c r="A62" s="668"/>
      <c r="B62" s="754"/>
      <c r="C62" s="757"/>
      <c r="D62" s="667" t="s">
        <v>9</v>
      </c>
      <c r="E62" s="415">
        <f t="shared" ref="E62:G62" si="85">E61/E60*1000</f>
        <v>5017.1462401143826</v>
      </c>
      <c r="F62" s="202">
        <f t="shared" si="85"/>
        <v>5511.2748405633065</v>
      </c>
      <c r="G62" s="178">
        <f t="shared" si="85"/>
        <v>7176.4113452011534</v>
      </c>
      <c r="H62" s="405">
        <f>H61/H60*1000</f>
        <v>6838.9977325418458</v>
      </c>
      <c r="I62" s="514">
        <f>I61/I60*1000</f>
        <v>6844.5434356290343</v>
      </c>
      <c r="J62" s="514">
        <f>J61/J60*1000</f>
        <v>7058.6400499064248</v>
      </c>
      <c r="K62" s="514">
        <f>K61/K60*1000</f>
        <v>7874.2435424354244</v>
      </c>
      <c r="L62" s="506">
        <f t="shared" si="0"/>
        <v>11.6</v>
      </c>
      <c r="M62" s="514">
        <f>M61/M60*1000</f>
        <v>8432.1223709369024</v>
      </c>
      <c r="N62" s="514">
        <f>N61/N60*1000</f>
        <v>7459.5803764270286</v>
      </c>
      <c r="O62" s="506">
        <f t="shared" si="1"/>
        <v>-11.5</v>
      </c>
      <c r="P62" s="514">
        <f>P61/P60*1000</f>
        <v>7640.0755463620835</v>
      </c>
      <c r="Q62" s="514">
        <f>Q61/Q60*1000</f>
        <v>7671.4943048955265</v>
      </c>
      <c r="R62" s="506">
        <f t="shared" si="2"/>
        <v>0.4</v>
      </c>
      <c r="S62" s="514">
        <f>S61/S60*1000</f>
        <v>8240.6391220142032</v>
      </c>
      <c r="T62" s="514">
        <f>T61/T60*1000</f>
        <v>7109.8369011213053</v>
      </c>
      <c r="U62" s="506">
        <f t="shared" si="3"/>
        <v>-13.7</v>
      </c>
      <c r="V62" s="514">
        <f>V61/V60*1000</f>
        <v>7854.9812301472712</v>
      </c>
      <c r="W62" s="514">
        <f t="shared" ref="W62" si="86">W61/W60*1000</f>
        <v>7462.6391850272448</v>
      </c>
      <c r="X62" s="506">
        <f t="shared" si="4"/>
        <v>-5</v>
      </c>
      <c r="Y62" s="514">
        <f>Y61/Y60*1000</f>
        <v>6676.1788759352703</v>
      </c>
      <c r="Z62" s="514">
        <f>Z61/Z60*1000</f>
        <v>6807.2823092585941</v>
      </c>
      <c r="AA62" s="506">
        <f t="shared" si="5"/>
        <v>2</v>
      </c>
      <c r="AB62" s="514">
        <f>AB61/AB60*1000</f>
        <v>7561.226259647905</v>
      </c>
      <c r="AC62" s="514">
        <f t="shared" ref="AC62" si="87">AC61/AC60*1000</f>
        <v>7276.8724112174923</v>
      </c>
      <c r="AD62" s="506">
        <f t="shared" si="6"/>
        <v>-3.8</v>
      </c>
      <c r="AE62" s="514">
        <f>AE61/AE60*1000</f>
        <v>5922.4543572369666</v>
      </c>
      <c r="AF62" s="514">
        <f>AF61/AF60*1000</f>
        <v>6635.7950765136402</v>
      </c>
      <c r="AG62" s="506">
        <f t="shared" si="7"/>
        <v>12</v>
      </c>
      <c r="AH62" s="514">
        <f>AH61/AH60*1000</f>
        <v>7254.378854625551</v>
      </c>
      <c r="AI62" s="514">
        <f t="shared" ref="AI62" si="88">AI61/AI60*1000</f>
        <v>7146.5552219427091</v>
      </c>
      <c r="AJ62" s="506">
        <f t="shared" si="8"/>
        <v>-1.5</v>
      </c>
    </row>
    <row r="63" spans="1:36" ht="22.5" customHeight="1">
      <c r="A63" s="668"/>
      <c r="B63" s="779" t="s">
        <v>19</v>
      </c>
      <c r="C63" s="782"/>
      <c r="D63" s="12" t="s">
        <v>569</v>
      </c>
      <c r="E63" s="416">
        <v>798525</v>
      </c>
      <c r="F63" s="203">
        <v>883405</v>
      </c>
      <c r="G63" s="179">
        <v>1022556</v>
      </c>
      <c r="H63" s="406">
        <v>1084232</v>
      </c>
      <c r="I63" s="521">
        <v>1223504</v>
      </c>
      <c r="J63" s="521">
        <v>94522</v>
      </c>
      <c r="K63" s="521">
        <v>97834</v>
      </c>
      <c r="L63" s="508">
        <f t="shared" si="0"/>
        <v>3.5</v>
      </c>
      <c r="M63" s="521">
        <f>P63-J63</f>
        <v>99026</v>
      </c>
      <c r="N63" s="521">
        <f>Q63-K63</f>
        <v>88601</v>
      </c>
      <c r="O63" s="508">
        <f t="shared" si="1"/>
        <v>-10.5</v>
      </c>
      <c r="P63" s="521">
        <v>193548</v>
      </c>
      <c r="Q63" s="521">
        <v>186435</v>
      </c>
      <c r="R63" s="508">
        <f t="shared" si="2"/>
        <v>-3.7</v>
      </c>
      <c r="S63" s="521">
        <f>V63-P63</f>
        <v>105397</v>
      </c>
      <c r="T63" s="521">
        <f>W63-Q63</f>
        <v>117782</v>
      </c>
      <c r="U63" s="508">
        <f t="shared" si="3"/>
        <v>11.8</v>
      </c>
      <c r="V63" s="521">
        <v>298945</v>
      </c>
      <c r="W63" s="521">
        <v>304217</v>
      </c>
      <c r="X63" s="508">
        <f t="shared" si="4"/>
        <v>1.8</v>
      </c>
      <c r="Y63" s="521">
        <f>AB63-V63</f>
        <v>89952</v>
      </c>
      <c r="Z63" s="521">
        <f>AC63-W63</f>
        <v>111579</v>
      </c>
      <c r="AA63" s="508">
        <f t="shared" si="5"/>
        <v>24</v>
      </c>
      <c r="AB63" s="521">
        <v>388897</v>
      </c>
      <c r="AC63" s="521">
        <v>415796</v>
      </c>
      <c r="AD63" s="508">
        <f t="shared" si="6"/>
        <v>6.9</v>
      </c>
      <c r="AE63" s="521">
        <f>AH63-AB63</f>
        <v>93478</v>
      </c>
      <c r="AF63" s="521">
        <f>AI63-AC63</f>
        <v>113211</v>
      </c>
      <c r="AG63" s="508">
        <f t="shared" si="7"/>
        <v>21.1</v>
      </c>
      <c r="AH63" s="521">
        <v>482375</v>
      </c>
      <c r="AI63" s="521">
        <v>529007</v>
      </c>
      <c r="AJ63" s="508">
        <f t="shared" si="8"/>
        <v>9.6999999999999993</v>
      </c>
    </row>
    <row r="64" spans="1:36" ht="22.5" customHeight="1">
      <c r="A64" s="668"/>
      <c r="B64" s="780"/>
      <c r="C64" s="783"/>
      <c r="D64" s="664" t="s">
        <v>252</v>
      </c>
      <c r="E64" s="417">
        <v>2577684</v>
      </c>
      <c r="F64" s="204">
        <v>3023657</v>
      </c>
      <c r="G64" s="180">
        <v>3654026</v>
      </c>
      <c r="H64" s="407">
        <v>3522410</v>
      </c>
      <c r="I64" s="522">
        <v>3618515</v>
      </c>
      <c r="J64" s="522">
        <v>291976</v>
      </c>
      <c r="K64" s="522">
        <v>337539</v>
      </c>
      <c r="L64" s="509">
        <f t="shared" si="0"/>
        <v>15.6</v>
      </c>
      <c r="M64" s="522">
        <f>P64-J64</f>
        <v>295538</v>
      </c>
      <c r="N64" s="522">
        <f>Q64-K64</f>
        <v>307806</v>
      </c>
      <c r="O64" s="509">
        <f t="shared" si="1"/>
        <v>4.2</v>
      </c>
      <c r="P64" s="522">
        <v>587514</v>
      </c>
      <c r="Q64" s="522">
        <v>645345</v>
      </c>
      <c r="R64" s="509">
        <f t="shared" si="2"/>
        <v>9.8000000000000007</v>
      </c>
      <c r="S64" s="522">
        <f>V64-P64</f>
        <v>321927</v>
      </c>
      <c r="T64" s="522">
        <f>W64-Q64</f>
        <v>396872</v>
      </c>
      <c r="U64" s="509">
        <f t="shared" si="3"/>
        <v>23.3</v>
      </c>
      <c r="V64" s="522">
        <v>909441</v>
      </c>
      <c r="W64" s="522">
        <v>1042217</v>
      </c>
      <c r="X64" s="509">
        <f t="shared" si="4"/>
        <v>14.6</v>
      </c>
      <c r="Y64" s="522">
        <f>AB64-V64</f>
        <v>271309</v>
      </c>
      <c r="Z64" s="522">
        <f>AC64-W64</f>
        <v>397007</v>
      </c>
      <c r="AA64" s="509">
        <f t="shared" si="5"/>
        <v>46.3</v>
      </c>
      <c r="AB64" s="522">
        <v>1180750</v>
      </c>
      <c r="AC64" s="522">
        <v>1439224</v>
      </c>
      <c r="AD64" s="509">
        <f t="shared" si="6"/>
        <v>21.9</v>
      </c>
      <c r="AE64" s="522">
        <f>AH64-AB64</f>
        <v>252207</v>
      </c>
      <c r="AF64" s="522">
        <f>AI64-AC64</f>
        <v>404685</v>
      </c>
      <c r="AG64" s="509">
        <f t="shared" si="7"/>
        <v>60.5</v>
      </c>
      <c r="AH64" s="522">
        <v>1432957</v>
      </c>
      <c r="AI64" s="522">
        <v>1843909</v>
      </c>
      <c r="AJ64" s="509">
        <f t="shared" si="8"/>
        <v>28.7</v>
      </c>
    </row>
    <row r="65" spans="1:36" ht="22.5" customHeight="1">
      <c r="A65" s="671"/>
      <c r="B65" s="781"/>
      <c r="C65" s="784"/>
      <c r="D65" s="670" t="s">
        <v>296</v>
      </c>
      <c r="E65" s="418">
        <f t="shared" ref="E65:G65" si="89">E64/E63*1000</f>
        <v>3228.056729595191</v>
      </c>
      <c r="F65" s="205">
        <f t="shared" si="89"/>
        <v>3422.7302313208552</v>
      </c>
      <c r="G65" s="181">
        <f t="shared" si="89"/>
        <v>3573.4238516032374</v>
      </c>
      <c r="H65" s="408">
        <f>H64/H63*1000</f>
        <v>3248.7604129005599</v>
      </c>
      <c r="I65" s="515">
        <f>I64/I63*1000</f>
        <v>2957.5015692633615</v>
      </c>
      <c r="J65" s="515">
        <f>J64/J63*1000</f>
        <v>3088.9739954719535</v>
      </c>
      <c r="K65" s="515">
        <f>K64/K63*1000</f>
        <v>3450.1195903264711</v>
      </c>
      <c r="L65" s="510">
        <f t="shared" si="0"/>
        <v>11.7</v>
      </c>
      <c r="M65" s="515">
        <f>M64/M63*1000</f>
        <v>2984.4485286692384</v>
      </c>
      <c r="N65" s="515">
        <f>N64/N63*1000</f>
        <v>3474.0691414318121</v>
      </c>
      <c r="O65" s="510">
        <f t="shared" si="1"/>
        <v>16.399999999999999</v>
      </c>
      <c r="P65" s="515">
        <f>P64/P63*1000</f>
        <v>3035.4950709901418</v>
      </c>
      <c r="Q65" s="515">
        <f>Q64/Q63*1000</f>
        <v>3461.5013275404294</v>
      </c>
      <c r="R65" s="510">
        <f t="shared" si="2"/>
        <v>14</v>
      </c>
      <c r="S65" s="515">
        <f>S64/S63*1000</f>
        <v>3054.4228014080099</v>
      </c>
      <c r="T65" s="515">
        <f>T64/T63*1000</f>
        <v>3369.5471294425292</v>
      </c>
      <c r="U65" s="510">
        <f t="shared" si="3"/>
        <v>10.3</v>
      </c>
      <c r="V65" s="515">
        <f>V64/V63*1000</f>
        <v>3042.1682918262559</v>
      </c>
      <c r="W65" s="515">
        <f t="shared" ref="W65" si="90">W64/W63*1000</f>
        <v>3425.8999332713161</v>
      </c>
      <c r="X65" s="510">
        <f t="shared" si="4"/>
        <v>12.6</v>
      </c>
      <c r="Y65" s="515">
        <f>Y64/Y63*1000</f>
        <v>3016.1530594094629</v>
      </c>
      <c r="Z65" s="515">
        <f>Z64/Z63*1000</f>
        <v>3558.0799254339977</v>
      </c>
      <c r="AA65" s="510">
        <f t="shared" si="5"/>
        <v>18</v>
      </c>
      <c r="AB65" s="515">
        <f>AB64/AB63*1000</f>
        <v>3036.1509602799711</v>
      </c>
      <c r="AC65" s="515">
        <f t="shared" ref="AC65" si="91">AC64/AC63*1000</f>
        <v>3461.3704797544947</v>
      </c>
      <c r="AD65" s="510">
        <f t="shared" si="6"/>
        <v>14</v>
      </c>
      <c r="AE65" s="515">
        <f>AE64/AE63*1000</f>
        <v>2698.0359014955393</v>
      </c>
      <c r="AF65" s="515">
        <f>AF64/AF63*1000</f>
        <v>3574.6084744415298</v>
      </c>
      <c r="AG65" s="510">
        <f t="shared" si="7"/>
        <v>32.5</v>
      </c>
      <c r="AH65" s="515">
        <f>AH64/AH63*1000</f>
        <v>2970.6286602746827</v>
      </c>
      <c r="AI65" s="515">
        <f t="shared" ref="AI65" si="92">AI64/AI63*1000</f>
        <v>3485.604160247407</v>
      </c>
      <c r="AJ65" s="510">
        <f t="shared" si="8"/>
        <v>17.3</v>
      </c>
    </row>
    <row r="66" spans="1:36" ht="22.5" customHeight="1">
      <c r="A66" s="778" t="s">
        <v>25</v>
      </c>
      <c r="B66" s="752" t="s">
        <v>26</v>
      </c>
      <c r="C66" s="762" t="s">
        <v>285</v>
      </c>
      <c r="D66" s="694" t="s">
        <v>569</v>
      </c>
      <c r="E66" s="414">
        <v>572828</v>
      </c>
      <c r="F66" s="201">
        <v>534026</v>
      </c>
      <c r="G66" s="177">
        <v>589791</v>
      </c>
      <c r="H66" s="520">
        <v>550925</v>
      </c>
      <c r="I66" s="607">
        <v>609326</v>
      </c>
      <c r="J66" s="607">
        <v>46224</v>
      </c>
      <c r="K66" s="607">
        <v>41690</v>
      </c>
      <c r="L66" s="507">
        <f t="shared" si="0"/>
        <v>-9.8000000000000007</v>
      </c>
      <c r="M66" s="607">
        <f>P66-J66</f>
        <v>43875</v>
      </c>
      <c r="N66" s="607">
        <f>Q66-K66</f>
        <v>47190</v>
      </c>
      <c r="O66" s="507">
        <f t="shared" si="1"/>
        <v>7.6</v>
      </c>
      <c r="P66" s="607">
        <v>90099</v>
      </c>
      <c r="Q66" s="607">
        <v>88880</v>
      </c>
      <c r="R66" s="507">
        <f t="shared" si="2"/>
        <v>-1.4</v>
      </c>
      <c r="S66" s="607">
        <f>V66-P66</f>
        <v>61739</v>
      </c>
      <c r="T66" s="607">
        <f>W66-Q66</f>
        <v>57693</v>
      </c>
      <c r="U66" s="507">
        <f t="shared" si="3"/>
        <v>-6.6</v>
      </c>
      <c r="V66" s="607">
        <v>151838</v>
      </c>
      <c r="W66" s="607">
        <v>146573</v>
      </c>
      <c r="X66" s="507">
        <f t="shared" si="4"/>
        <v>-3.5</v>
      </c>
      <c r="Y66" s="607">
        <f>AB66-V66</f>
        <v>52472</v>
      </c>
      <c r="Z66" s="607">
        <f>AC66-W66</f>
        <v>50325</v>
      </c>
      <c r="AA66" s="507">
        <f t="shared" si="5"/>
        <v>-4.0999999999999996</v>
      </c>
      <c r="AB66" s="607">
        <v>204310</v>
      </c>
      <c r="AC66" s="607">
        <v>196898</v>
      </c>
      <c r="AD66" s="507">
        <f t="shared" si="6"/>
        <v>-3.6</v>
      </c>
      <c r="AE66" s="607">
        <f>AH66-AB66</f>
        <v>45004</v>
      </c>
      <c r="AF66" s="607">
        <f>AI66-AC66</f>
        <v>50343</v>
      </c>
      <c r="AG66" s="507">
        <f t="shared" si="7"/>
        <v>11.9</v>
      </c>
      <c r="AH66" s="607">
        <v>249314</v>
      </c>
      <c r="AI66" s="607">
        <v>247241</v>
      </c>
      <c r="AJ66" s="507">
        <f t="shared" si="8"/>
        <v>-0.8</v>
      </c>
    </row>
    <row r="67" spans="1:36" ht="22.5" customHeight="1">
      <c r="A67" s="769"/>
      <c r="B67" s="753"/>
      <c r="C67" s="763"/>
      <c r="D67" s="665" t="s">
        <v>8</v>
      </c>
      <c r="E67" s="411">
        <v>1267896</v>
      </c>
      <c r="F67" s="196">
        <v>1609066</v>
      </c>
      <c r="G67" s="174">
        <v>1825760</v>
      </c>
      <c r="H67" s="401">
        <v>1491865</v>
      </c>
      <c r="I67" s="606">
        <f>1439934+5+336</f>
        <v>1440275</v>
      </c>
      <c r="J67" s="606">
        <v>112025</v>
      </c>
      <c r="K67" s="606">
        <v>118854</v>
      </c>
      <c r="L67" s="505">
        <f t="shared" si="0"/>
        <v>6.1</v>
      </c>
      <c r="M67" s="606">
        <f>P67-J67</f>
        <v>104542</v>
      </c>
      <c r="N67" s="606">
        <f>Q67-K67</f>
        <v>133521</v>
      </c>
      <c r="O67" s="505">
        <f t="shared" si="1"/>
        <v>27.7</v>
      </c>
      <c r="P67" s="606">
        <v>216567</v>
      </c>
      <c r="Q67" s="606">
        <v>252375</v>
      </c>
      <c r="R67" s="505">
        <f t="shared" si="2"/>
        <v>16.5</v>
      </c>
      <c r="S67" s="606">
        <f>V67-P67</f>
        <v>130522</v>
      </c>
      <c r="T67" s="606">
        <f>W67-Q67</f>
        <v>166295</v>
      </c>
      <c r="U67" s="505">
        <f t="shared" si="3"/>
        <v>27.4</v>
      </c>
      <c r="V67" s="606">
        <v>347089</v>
      </c>
      <c r="W67" s="606">
        <v>418670</v>
      </c>
      <c r="X67" s="505">
        <f t="shared" si="4"/>
        <v>20.6</v>
      </c>
      <c r="Y67" s="606">
        <f>AB67-V67</f>
        <v>107952</v>
      </c>
      <c r="Z67" s="606">
        <f>AC67-W67</f>
        <v>146907</v>
      </c>
      <c r="AA67" s="505">
        <f t="shared" si="5"/>
        <v>36.1</v>
      </c>
      <c r="AB67" s="606">
        <v>455041</v>
      </c>
      <c r="AC67" s="606">
        <v>565577</v>
      </c>
      <c r="AD67" s="505">
        <f t="shared" si="6"/>
        <v>24.3</v>
      </c>
      <c r="AE67" s="606">
        <f>AH67-AB67</f>
        <v>91524</v>
      </c>
      <c r="AF67" s="606">
        <f>AI67-AC67</f>
        <v>151486</v>
      </c>
      <c r="AG67" s="505">
        <f t="shared" si="7"/>
        <v>65.5</v>
      </c>
      <c r="AH67" s="606">
        <v>546565</v>
      </c>
      <c r="AI67" s="606">
        <v>717063</v>
      </c>
      <c r="AJ67" s="505">
        <f t="shared" si="8"/>
        <v>31.2</v>
      </c>
    </row>
    <row r="68" spans="1:36" ht="22.5" customHeight="1">
      <c r="A68" s="668"/>
      <c r="B68" s="754"/>
      <c r="C68" s="764"/>
      <c r="D68" s="667" t="s">
        <v>9</v>
      </c>
      <c r="E68" s="415">
        <f t="shared" ref="E68:G68" si="93">E67/E66*1000</f>
        <v>2213.3973897923984</v>
      </c>
      <c r="F68" s="202">
        <f t="shared" si="93"/>
        <v>3013.0855052001216</v>
      </c>
      <c r="G68" s="178">
        <f t="shared" si="93"/>
        <v>3095.6050533154962</v>
      </c>
      <c r="H68" s="402">
        <f>H67/H66*1000</f>
        <v>2707.9275763488681</v>
      </c>
      <c r="I68" s="514">
        <f>I67/I66*1000</f>
        <v>2363.7182723205638</v>
      </c>
      <c r="J68" s="514">
        <f>J67/J66*1000</f>
        <v>2423.5245759778472</v>
      </c>
      <c r="K68" s="514">
        <f>K67/K66*1000</f>
        <v>2850.8994962820821</v>
      </c>
      <c r="L68" s="506">
        <f t="shared" si="0"/>
        <v>17.600000000000001</v>
      </c>
      <c r="M68" s="514">
        <f>M67/M66*1000</f>
        <v>2382.7236467236467</v>
      </c>
      <c r="N68" s="514">
        <f>N67/N66*1000</f>
        <v>2829.4342021614748</v>
      </c>
      <c r="O68" s="506">
        <f t="shared" si="1"/>
        <v>18.7</v>
      </c>
      <c r="P68" s="514">
        <f>P67/P66*1000</f>
        <v>2403.6559784237338</v>
      </c>
      <c r="Q68" s="514">
        <f>Q67/Q66*1000</f>
        <v>2839.5027002700267</v>
      </c>
      <c r="R68" s="506">
        <f t="shared" si="2"/>
        <v>18.100000000000001</v>
      </c>
      <c r="S68" s="514">
        <f>S67/S66*1000</f>
        <v>2114.0931987884478</v>
      </c>
      <c r="T68" s="514">
        <f>T67/T66*1000</f>
        <v>2882.412077721734</v>
      </c>
      <c r="U68" s="506">
        <f t="shared" si="3"/>
        <v>36.299999999999997</v>
      </c>
      <c r="V68" s="514">
        <f>V67/V66*1000</f>
        <v>2285.9165689748284</v>
      </c>
      <c r="W68" s="514">
        <f t="shared" ref="W68" si="94">W67/W66*1000</f>
        <v>2856.3923778594967</v>
      </c>
      <c r="X68" s="506">
        <f t="shared" si="4"/>
        <v>25</v>
      </c>
      <c r="Y68" s="514">
        <f>Y67/Y66*1000</f>
        <v>2057.3258118615645</v>
      </c>
      <c r="Z68" s="514">
        <f>Z67/Z66*1000</f>
        <v>2919.1654247391953</v>
      </c>
      <c r="AA68" s="506">
        <f t="shared" si="5"/>
        <v>41.9</v>
      </c>
      <c r="AB68" s="514">
        <f>AB67/AB66*1000</f>
        <v>2227.2086535167145</v>
      </c>
      <c r="AC68" s="514">
        <f t="shared" ref="AC68" si="95">AC67/AC66*1000</f>
        <v>2872.4364899592683</v>
      </c>
      <c r="AD68" s="506">
        <f t="shared" si="6"/>
        <v>29</v>
      </c>
      <c r="AE68" s="514">
        <f>AE67/AE66*1000</f>
        <v>2033.6858945871477</v>
      </c>
      <c r="AF68" s="514">
        <f>AF67/AF66*1000</f>
        <v>3009.0777267941921</v>
      </c>
      <c r="AG68" s="506">
        <f t="shared" si="7"/>
        <v>48</v>
      </c>
      <c r="AH68" s="514">
        <f>AH67/AH66*1000</f>
        <v>2192.2756042580841</v>
      </c>
      <c r="AI68" s="514">
        <f t="shared" ref="AI68" si="96">AI67/AI66*1000</f>
        <v>2900.2592612066769</v>
      </c>
      <c r="AJ68" s="506">
        <f t="shared" si="8"/>
        <v>32.299999999999997</v>
      </c>
    </row>
    <row r="69" spans="1:36" ht="22.5" customHeight="1">
      <c r="A69" s="668"/>
      <c r="B69" s="752" t="s">
        <v>18</v>
      </c>
      <c r="C69" s="755"/>
      <c r="D69" s="694" t="s">
        <v>569</v>
      </c>
      <c r="E69" s="414">
        <f t="shared" ref="E69:H70" si="97">E72-E66</f>
        <v>17117</v>
      </c>
      <c r="F69" s="201">
        <f t="shared" si="97"/>
        <v>17851</v>
      </c>
      <c r="G69" s="177">
        <f t="shared" si="97"/>
        <v>21028</v>
      </c>
      <c r="H69" s="520">
        <f t="shared" si="97"/>
        <v>19198</v>
      </c>
      <c r="I69" s="607">
        <f>I72-I66</f>
        <v>17011</v>
      </c>
      <c r="J69" s="607">
        <f t="shared" ref="J69:K69" si="98">J72-J66</f>
        <v>1142</v>
      </c>
      <c r="K69" s="607">
        <f t="shared" si="98"/>
        <v>1717</v>
      </c>
      <c r="L69" s="507">
        <f t="shared" si="0"/>
        <v>50.4</v>
      </c>
      <c r="M69" s="607">
        <f>M72-M66</f>
        <v>1315</v>
      </c>
      <c r="N69" s="607">
        <f>N72-N66</f>
        <v>1221</v>
      </c>
      <c r="O69" s="507">
        <f t="shared" si="1"/>
        <v>-7.1</v>
      </c>
      <c r="P69" s="607">
        <f>P72-P66</f>
        <v>2457</v>
      </c>
      <c r="Q69" s="607">
        <f>Q72-Q66</f>
        <v>2938</v>
      </c>
      <c r="R69" s="507">
        <f t="shared" si="2"/>
        <v>19.600000000000001</v>
      </c>
      <c r="S69" s="607">
        <f>S72-S66</f>
        <v>1499</v>
      </c>
      <c r="T69" s="607">
        <f>T72-T66</f>
        <v>1668</v>
      </c>
      <c r="U69" s="507">
        <f t="shared" si="3"/>
        <v>11.3</v>
      </c>
      <c r="V69" s="607">
        <f>V72-V66</f>
        <v>3956</v>
      </c>
      <c r="W69" s="607">
        <f>W72-W66</f>
        <v>4606</v>
      </c>
      <c r="X69" s="507">
        <f t="shared" si="4"/>
        <v>16.399999999999999</v>
      </c>
      <c r="Y69" s="607">
        <f>Y72-Y66</f>
        <v>1462</v>
      </c>
      <c r="Z69" s="607">
        <f>Z72-Z66</f>
        <v>2046</v>
      </c>
      <c r="AA69" s="507">
        <f t="shared" si="5"/>
        <v>39.9</v>
      </c>
      <c r="AB69" s="607">
        <f>AB72-AB66</f>
        <v>5418</v>
      </c>
      <c r="AC69" s="607">
        <f>AC72-AC66</f>
        <v>6652</v>
      </c>
      <c r="AD69" s="507">
        <f t="shared" si="6"/>
        <v>22.8</v>
      </c>
      <c r="AE69" s="607">
        <f>AE72-AE66</f>
        <v>1021</v>
      </c>
      <c r="AF69" s="607">
        <f>AF72-AF66</f>
        <v>1682</v>
      </c>
      <c r="AG69" s="507">
        <f t="shared" si="7"/>
        <v>64.7</v>
      </c>
      <c r="AH69" s="607">
        <f>AH72-AH66</f>
        <v>6439</v>
      </c>
      <c r="AI69" s="607">
        <f>AI72-AI66</f>
        <v>8334</v>
      </c>
      <c r="AJ69" s="507">
        <f t="shared" si="8"/>
        <v>29.4</v>
      </c>
    </row>
    <row r="70" spans="1:36" ht="22.5" customHeight="1">
      <c r="A70" s="668"/>
      <c r="B70" s="753"/>
      <c r="C70" s="756"/>
      <c r="D70" s="665" t="s">
        <v>8</v>
      </c>
      <c r="E70" s="411">
        <f t="shared" si="97"/>
        <v>32943</v>
      </c>
      <c r="F70" s="196">
        <f t="shared" si="97"/>
        <v>44790</v>
      </c>
      <c r="G70" s="174">
        <f t="shared" si="97"/>
        <v>53432</v>
      </c>
      <c r="H70" s="401">
        <f t="shared" si="97"/>
        <v>42040</v>
      </c>
      <c r="I70" s="606">
        <f>I73-I67</f>
        <v>37582</v>
      </c>
      <c r="J70" s="606">
        <f t="shared" ref="J70:K70" si="99">J73-J67</f>
        <v>2715</v>
      </c>
      <c r="K70" s="606">
        <f t="shared" si="99"/>
        <v>4168</v>
      </c>
      <c r="L70" s="505">
        <f t="shared" si="0"/>
        <v>53.5</v>
      </c>
      <c r="M70" s="606">
        <f>M73-M67</f>
        <v>2932</v>
      </c>
      <c r="N70" s="606">
        <f>N73-N67</f>
        <v>3303</v>
      </c>
      <c r="O70" s="505">
        <f t="shared" si="1"/>
        <v>12.7</v>
      </c>
      <c r="P70" s="606">
        <f>P73-P67</f>
        <v>5647</v>
      </c>
      <c r="Q70" s="606">
        <f>Q73-Q67</f>
        <v>7471</v>
      </c>
      <c r="R70" s="505">
        <f t="shared" si="2"/>
        <v>32.299999999999997</v>
      </c>
      <c r="S70" s="606">
        <f>S73-S67</f>
        <v>3490</v>
      </c>
      <c r="T70" s="606">
        <f>T73-T67</f>
        <v>4243</v>
      </c>
      <c r="U70" s="505">
        <f t="shared" si="3"/>
        <v>21.6</v>
      </c>
      <c r="V70" s="606">
        <f>V73-V67</f>
        <v>9137</v>
      </c>
      <c r="W70" s="606">
        <f>W73-W67</f>
        <v>11714</v>
      </c>
      <c r="X70" s="505">
        <f t="shared" si="4"/>
        <v>28.2</v>
      </c>
      <c r="Y70" s="606">
        <f>Y73-Y67</f>
        <v>3358</v>
      </c>
      <c r="Z70" s="606">
        <f>Z73-Z67</f>
        <v>5544</v>
      </c>
      <c r="AA70" s="505">
        <f t="shared" si="5"/>
        <v>65.099999999999994</v>
      </c>
      <c r="AB70" s="606">
        <f>AB73-AB67</f>
        <v>12495</v>
      </c>
      <c r="AC70" s="606">
        <f>AC73-AC67</f>
        <v>17258</v>
      </c>
      <c r="AD70" s="505">
        <f t="shared" si="6"/>
        <v>38.1</v>
      </c>
      <c r="AE70" s="606">
        <f>AE73-AE67</f>
        <v>2602</v>
      </c>
      <c r="AF70" s="606">
        <f>AF73-AF67</f>
        <v>4463</v>
      </c>
      <c r="AG70" s="505">
        <f t="shared" si="7"/>
        <v>71.5</v>
      </c>
      <c r="AH70" s="606">
        <f>AH73-AH67</f>
        <v>15097</v>
      </c>
      <c r="AI70" s="606">
        <f>AI73-AI67</f>
        <v>21721</v>
      </c>
      <c r="AJ70" s="505">
        <f t="shared" si="8"/>
        <v>43.9</v>
      </c>
    </row>
    <row r="71" spans="1:36" ht="22.5" customHeight="1">
      <c r="A71" s="668"/>
      <c r="B71" s="754"/>
      <c r="C71" s="757"/>
      <c r="D71" s="667" t="s">
        <v>9</v>
      </c>
      <c r="E71" s="415">
        <f t="shared" ref="E71:G71" si="100">E70/E69*1000</f>
        <v>1924.5779050067185</v>
      </c>
      <c r="F71" s="202">
        <f t="shared" si="100"/>
        <v>2509.1031314772281</v>
      </c>
      <c r="G71" s="178">
        <f t="shared" si="100"/>
        <v>2540.9929617652651</v>
      </c>
      <c r="H71" s="405">
        <f>H70/H69*1000</f>
        <v>2189.8114386915304</v>
      </c>
      <c r="I71" s="514">
        <f>I70/I69*1000</f>
        <v>2209.2763505966727</v>
      </c>
      <c r="J71" s="514">
        <f>J70/J69*1000</f>
        <v>2377.4080560420316</v>
      </c>
      <c r="K71" s="514">
        <f>K70/K69*1000</f>
        <v>2427.4898078043097</v>
      </c>
      <c r="L71" s="506">
        <f t="shared" ref="L71:L107" si="101">ROUND(((K71/J71-1)*100),1)</f>
        <v>2.1</v>
      </c>
      <c r="M71" s="514">
        <f>M70/M69*1000</f>
        <v>2229.6577946768061</v>
      </c>
      <c r="N71" s="514">
        <f>N70/N69*1000</f>
        <v>2705.159705159705</v>
      </c>
      <c r="O71" s="506">
        <f t="shared" ref="O71:O107" si="102">ROUND(((N71/M71-1)*100),1)</f>
        <v>21.3</v>
      </c>
      <c r="P71" s="514">
        <f>P70/P69*1000</f>
        <v>2298.3312983312985</v>
      </c>
      <c r="Q71" s="514">
        <f>Q70/Q69*1000</f>
        <v>2542.8863172226006</v>
      </c>
      <c r="R71" s="506">
        <f t="shared" ref="R71:R107" si="103">ROUND(((Q71/P71-1)*100),1)</f>
        <v>10.6</v>
      </c>
      <c r="S71" s="514">
        <f>S70/S69*1000</f>
        <v>2328.2188125416947</v>
      </c>
      <c r="T71" s="514">
        <f>T70/T69*1000</f>
        <v>2543.7649880095923</v>
      </c>
      <c r="U71" s="506">
        <f t="shared" ref="U71:U107" si="104">ROUND(((T71/S71-1)*100),1)</f>
        <v>9.3000000000000007</v>
      </c>
      <c r="V71" s="514">
        <f>V70/V69*1000</f>
        <v>2309.6562184024269</v>
      </c>
      <c r="W71" s="514">
        <f t="shared" ref="W71" si="105">W70/W69*1000</f>
        <v>2543.2045158488927</v>
      </c>
      <c r="X71" s="506">
        <f t="shared" ref="X71:X107" si="106">ROUND(((W71/V71-1)*100),1)</f>
        <v>10.1</v>
      </c>
      <c r="Y71" s="514">
        <f>Y70/Y69*1000</f>
        <v>2296.8536251709984</v>
      </c>
      <c r="Z71" s="514">
        <f>Z70/Z69*1000</f>
        <v>2709.6774193548385</v>
      </c>
      <c r="AA71" s="506">
        <f t="shared" ref="AA71:AA107" si="107">ROUND(((Z71/Y71-1)*100),1)</f>
        <v>18</v>
      </c>
      <c r="AB71" s="514">
        <f>AB70/AB69*1000</f>
        <v>2306.2015503875969</v>
      </c>
      <c r="AC71" s="514">
        <f t="shared" ref="AC71" si="108">AC70/AC69*1000</f>
        <v>2594.4076969332532</v>
      </c>
      <c r="AD71" s="506">
        <f t="shared" ref="AD71:AD107" si="109">ROUND(((AC71/AB71-1)*100),1)</f>
        <v>12.5</v>
      </c>
      <c r="AE71" s="514">
        <f>AE70/AE69*1000</f>
        <v>2548.4818805093046</v>
      </c>
      <c r="AF71" s="514">
        <f>AF70/AF69*1000</f>
        <v>2653.3888228299643</v>
      </c>
      <c r="AG71" s="506">
        <f t="shared" ref="AG71:AG107" si="110">ROUND(((AF71/AE71-1)*100),1)</f>
        <v>4.0999999999999996</v>
      </c>
      <c r="AH71" s="514">
        <f>AH70/AH69*1000</f>
        <v>2344.6187296164003</v>
      </c>
      <c r="AI71" s="514">
        <f t="shared" ref="AI71" si="111">AI70/AI69*1000</f>
        <v>2606.3114950803933</v>
      </c>
      <c r="AJ71" s="506">
        <f t="shared" ref="AJ71:AJ107" si="112">ROUND(((AI71/AH71-1)*100),1)</f>
        <v>11.2</v>
      </c>
    </row>
    <row r="72" spans="1:36" ht="22.5" customHeight="1">
      <c r="A72" s="668"/>
      <c r="B72" s="779" t="s">
        <v>19</v>
      </c>
      <c r="C72" s="782"/>
      <c r="D72" s="12" t="s">
        <v>569</v>
      </c>
      <c r="E72" s="416">
        <v>589945</v>
      </c>
      <c r="F72" s="203">
        <v>551877</v>
      </c>
      <c r="G72" s="179">
        <v>610819</v>
      </c>
      <c r="H72" s="406">
        <v>570123</v>
      </c>
      <c r="I72" s="522">
        <v>626337</v>
      </c>
      <c r="J72" s="521">
        <v>47366</v>
      </c>
      <c r="K72" s="521">
        <v>43407</v>
      </c>
      <c r="L72" s="508">
        <f t="shared" si="101"/>
        <v>-8.4</v>
      </c>
      <c r="M72" s="521">
        <f>P72-J72</f>
        <v>45190</v>
      </c>
      <c r="N72" s="521">
        <f>Q72-K72</f>
        <v>48411</v>
      </c>
      <c r="O72" s="508">
        <f t="shared" si="102"/>
        <v>7.1</v>
      </c>
      <c r="P72" s="521">
        <v>92556</v>
      </c>
      <c r="Q72" s="521">
        <v>91818</v>
      </c>
      <c r="R72" s="508">
        <f t="shared" si="103"/>
        <v>-0.8</v>
      </c>
      <c r="S72" s="521">
        <f>V72-P72</f>
        <v>63238</v>
      </c>
      <c r="T72" s="521">
        <f>W72-Q72</f>
        <v>59361</v>
      </c>
      <c r="U72" s="508">
        <f t="shared" si="104"/>
        <v>-6.1</v>
      </c>
      <c r="V72" s="521">
        <v>155794</v>
      </c>
      <c r="W72" s="521">
        <v>151179</v>
      </c>
      <c r="X72" s="508">
        <f t="shared" si="106"/>
        <v>-3</v>
      </c>
      <c r="Y72" s="521">
        <f>AB72-V72</f>
        <v>53934</v>
      </c>
      <c r="Z72" s="521">
        <f>AC72-W72</f>
        <v>52371</v>
      </c>
      <c r="AA72" s="508">
        <f t="shared" si="107"/>
        <v>-2.9</v>
      </c>
      <c r="AB72" s="521">
        <v>209728</v>
      </c>
      <c r="AC72" s="521">
        <v>203550</v>
      </c>
      <c r="AD72" s="508">
        <f t="shared" si="109"/>
        <v>-2.9</v>
      </c>
      <c r="AE72" s="521">
        <f>AH72-AB72</f>
        <v>46025</v>
      </c>
      <c r="AF72" s="521">
        <f>AI72-AC72</f>
        <v>52025</v>
      </c>
      <c r="AG72" s="508">
        <f t="shared" si="110"/>
        <v>13</v>
      </c>
      <c r="AH72" s="521">
        <v>255753</v>
      </c>
      <c r="AI72" s="521">
        <v>255575</v>
      </c>
      <c r="AJ72" s="508">
        <f t="shared" si="112"/>
        <v>-0.1</v>
      </c>
    </row>
    <row r="73" spans="1:36" ht="22.5" customHeight="1">
      <c r="A73" s="668"/>
      <c r="B73" s="780"/>
      <c r="C73" s="783"/>
      <c r="D73" s="664" t="s">
        <v>252</v>
      </c>
      <c r="E73" s="417">
        <v>1300839</v>
      </c>
      <c r="F73" s="204">
        <v>1653856</v>
      </c>
      <c r="G73" s="180">
        <v>1879192</v>
      </c>
      <c r="H73" s="407">
        <v>1533905</v>
      </c>
      <c r="I73" s="522">
        <v>1477857</v>
      </c>
      <c r="J73" s="522">
        <v>114740</v>
      </c>
      <c r="K73" s="522">
        <v>123022</v>
      </c>
      <c r="L73" s="509">
        <f t="shared" si="101"/>
        <v>7.2</v>
      </c>
      <c r="M73" s="522">
        <f>P73-J73</f>
        <v>107474</v>
      </c>
      <c r="N73" s="522">
        <f>Q73-K73</f>
        <v>136824</v>
      </c>
      <c r="O73" s="509">
        <f t="shared" si="102"/>
        <v>27.3</v>
      </c>
      <c r="P73" s="522">
        <v>222214</v>
      </c>
      <c r="Q73" s="522">
        <v>259846</v>
      </c>
      <c r="R73" s="509">
        <f t="shared" si="103"/>
        <v>16.899999999999999</v>
      </c>
      <c r="S73" s="522">
        <f>V73-P73</f>
        <v>134012</v>
      </c>
      <c r="T73" s="522">
        <f>W73-Q73</f>
        <v>170538</v>
      </c>
      <c r="U73" s="509">
        <f t="shared" si="104"/>
        <v>27.3</v>
      </c>
      <c r="V73" s="522">
        <v>356226</v>
      </c>
      <c r="W73" s="522">
        <v>430384</v>
      </c>
      <c r="X73" s="509">
        <f t="shared" si="106"/>
        <v>20.8</v>
      </c>
      <c r="Y73" s="522">
        <f>AB73-V73</f>
        <v>111310</v>
      </c>
      <c r="Z73" s="522">
        <f>AC73-W73</f>
        <v>152451</v>
      </c>
      <c r="AA73" s="509">
        <f t="shared" si="107"/>
        <v>37</v>
      </c>
      <c r="AB73" s="522">
        <v>467536</v>
      </c>
      <c r="AC73" s="522">
        <v>582835</v>
      </c>
      <c r="AD73" s="509">
        <f t="shared" si="109"/>
        <v>24.7</v>
      </c>
      <c r="AE73" s="522">
        <f>AH73-AB73</f>
        <v>94126</v>
      </c>
      <c r="AF73" s="522">
        <f>AI73-AC73</f>
        <v>155949</v>
      </c>
      <c r="AG73" s="509">
        <f t="shared" si="110"/>
        <v>65.7</v>
      </c>
      <c r="AH73" s="522">
        <v>561662</v>
      </c>
      <c r="AI73" s="522">
        <v>738784</v>
      </c>
      <c r="AJ73" s="509">
        <f t="shared" si="112"/>
        <v>31.5</v>
      </c>
    </row>
    <row r="74" spans="1:36" ht="22.5" customHeight="1">
      <c r="A74" s="671"/>
      <c r="B74" s="781"/>
      <c r="C74" s="784"/>
      <c r="D74" s="670" t="s">
        <v>296</v>
      </c>
      <c r="E74" s="418">
        <f t="shared" ref="E74:G74" si="113">E73/E72*1000</f>
        <v>2205.0174168778444</v>
      </c>
      <c r="F74" s="205">
        <f t="shared" si="113"/>
        <v>2996.7837036151172</v>
      </c>
      <c r="G74" s="181">
        <f t="shared" si="113"/>
        <v>3076.5120272945014</v>
      </c>
      <c r="H74" s="408">
        <f>H73/H72*1000</f>
        <v>2690.4808260673576</v>
      </c>
      <c r="I74" s="515">
        <f>I73/I72*1000</f>
        <v>2359.5237068862289</v>
      </c>
      <c r="J74" s="515">
        <f>J73/J72*1000</f>
        <v>2422.4127010936118</v>
      </c>
      <c r="K74" s="515">
        <f>K73/K72*1000</f>
        <v>2834.1511737738151</v>
      </c>
      <c r="L74" s="510">
        <f t="shared" si="101"/>
        <v>17</v>
      </c>
      <c r="M74" s="515">
        <f>M73/M72*1000</f>
        <v>2378.2695286567823</v>
      </c>
      <c r="N74" s="515">
        <f>N73/N72*1000</f>
        <v>2826.2998078948999</v>
      </c>
      <c r="O74" s="510">
        <f t="shared" si="102"/>
        <v>18.8</v>
      </c>
      <c r="P74" s="515">
        <f>P73/P72*1000</f>
        <v>2400.8600198798567</v>
      </c>
      <c r="Q74" s="515">
        <f>Q73/Q72*1000</f>
        <v>2830.0115445773158</v>
      </c>
      <c r="R74" s="510">
        <f t="shared" si="103"/>
        <v>17.899999999999999</v>
      </c>
      <c r="S74" s="515">
        <f>S73/S72*1000</f>
        <v>2119.1688541699609</v>
      </c>
      <c r="T74" s="515">
        <f>T73/T72*1000</f>
        <v>2872.896346085814</v>
      </c>
      <c r="U74" s="510">
        <f t="shared" si="104"/>
        <v>35.6</v>
      </c>
      <c r="V74" s="515">
        <f>V73/V72*1000</f>
        <v>2286.5193781532021</v>
      </c>
      <c r="W74" s="515">
        <f t="shared" ref="W74" si="114">W73/W72*1000</f>
        <v>2846.850422347019</v>
      </c>
      <c r="X74" s="510">
        <f t="shared" si="106"/>
        <v>24.5</v>
      </c>
      <c r="Y74" s="515">
        <f>Y73/Y72*1000</f>
        <v>2063.8187414247041</v>
      </c>
      <c r="Z74" s="515">
        <f>Z73/Z72*1000</f>
        <v>2910.981268259151</v>
      </c>
      <c r="AA74" s="510">
        <f t="shared" si="107"/>
        <v>41</v>
      </c>
      <c r="AB74" s="515">
        <f>AB73/AB72*1000</f>
        <v>2229.2493133963994</v>
      </c>
      <c r="AC74" s="515">
        <f t="shared" ref="AC74" si="115">AC73/AC72*1000</f>
        <v>2863.3505281257676</v>
      </c>
      <c r="AD74" s="510">
        <f t="shared" si="109"/>
        <v>28.4</v>
      </c>
      <c r="AE74" s="515">
        <f>AE73/AE72*1000</f>
        <v>2045.1059206952741</v>
      </c>
      <c r="AF74" s="515">
        <f>AF73/AF72*1000</f>
        <v>2997.5780874579527</v>
      </c>
      <c r="AG74" s="510">
        <f t="shared" si="110"/>
        <v>46.6</v>
      </c>
      <c r="AH74" s="515">
        <f>AH73/AH72*1000</f>
        <v>2196.1110915609984</v>
      </c>
      <c r="AI74" s="515">
        <f t="shared" ref="AI74" si="116">AI73/AI72*1000</f>
        <v>2890.6739704587694</v>
      </c>
      <c r="AJ74" s="510">
        <f t="shared" si="112"/>
        <v>31.6</v>
      </c>
    </row>
    <row r="75" spans="1:36" ht="22.5" customHeight="1">
      <c r="A75" s="778" t="s">
        <v>27</v>
      </c>
      <c r="B75" s="752" t="s">
        <v>26</v>
      </c>
      <c r="C75" s="762" t="s">
        <v>282</v>
      </c>
      <c r="D75" s="694" t="s">
        <v>569</v>
      </c>
      <c r="E75" s="414">
        <v>380255</v>
      </c>
      <c r="F75" s="201">
        <v>338933</v>
      </c>
      <c r="G75" s="177">
        <v>353256</v>
      </c>
      <c r="H75" s="689">
        <v>350431</v>
      </c>
      <c r="I75" s="612">
        <v>326775</v>
      </c>
      <c r="J75" s="607">
        <v>35142</v>
      </c>
      <c r="K75" s="607">
        <v>21845</v>
      </c>
      <c r="L75" s="507">
        <f t="shared" si="101"/>
        <v>-37.799999999999997</v>
      </c>
      <c r="M75" s="607">
        <f>P75-J75</f>
        <v>24520</v>
      </c>
      <c r="N75" s="607">
        <f>Q75-K75</f>
        <v>29683</v>
      </c>
      <c r="O75" s="507">
        <f t="shared" si="102"/>
        <v>21.1</v>
      </c>
      <c r="P75" s="700">
        <v>59662</v>
      </c>
      <c r="Q75" s="612">
        <v>51528</v>
      </c>
      <c r="R75" s="507">
        <f t="shared" si="103"/>
        <v>-13.6</v>
      </c>
      <c r="S75" s="607">
        <f>V75-P75</f>
        <v>29977</v>
      </c>
      <c r="T75" s="607">
        <f>W75-Q75</f>
        <v>19782</v>
      </c>
      <c r="U75" s="507">
        <f t="shared" si="104"/>
        <v>-34</v>
      </c>
      <c r="V75" s="700">
        <v>89639</v>
      </c>
      <c r="W75" s="607">
        <v>71310</v>
      </c>
      <c r="X75" s="507">
        <f t="shared" si="106"/>
        <v>-20.399999999999999</v>
      </c>
      <c r="Y75" s="607">
        <f>AB75-V75</f>
        <v>29045</v>
      </c>
      <c r="Z75" s="607">
        <f>AC75-W75</f>
        <v>36763</v>
      </c>
      <c r="AA75" s="507">
        <f t="shared" si="107"/>
        <v>26.6</v>
      </c>
      <c r="AB75" s="612">
        <v>118684</v>
      </c>
      <c r="AC75" s="607">
        <v>108073</v>
      </c>
      <c r="AD75" s="507">
        <f t="shared" si="109"/>
        <v>-8.9</v>
      </c>
      <c r="AE75" s="607">
        <f>AH75-AB75</f>
        <v>19351</v>
      </c>
      <c r="AF75" s="607">
        <f>AI75-AC75</f>
        <v>26569</v>
      </c>
      <c r="AG75" s="507">
        <f t="shared" si="110"/>
        <v>37.299999999999997</v>
      </c>
      <c r="AH75" s="612">
        <v>138035</v>
      </c>
      <c r="AI75" s="607">
        <v>134642</v>
      </c>
      <c r="AJ75" s="507">
        <f t="shared" si="112"/>
        <v>-2.5</v>
      </c>
    </row>
    <row r="76" spans="1:36" ht="22.5" customHeight="1">
      <c r="A76" s="769"/>
      <c r="B76" s="753"/>
      <c r="C76" s="763"/>
      <c r="D76" s="665" t="s">
        <v>8</v>
      </c>
      <c r="E76" s="411">
        <v>760565</v>
      </c>
      <c r="F76" s="196">
        <v>830697</v>
      </c>
      <c r="G76" s="174">
        <v>858395</v>
      </c>
      <c r="H76" s="401">
        <v>755861</v>
      </c>
      <c r="I76" s="606">
        <v>649736</v>
      </c>
      <c r="J76" s="606">
        <v>73107</v>
      </c>
      <c r="K76" s="606">
        <v>47196</v>
      </c>
      <c r="L76" s="505">
        <f t="shared" si="101"/>
        <v>-35.4</v>
      </c>
      <c r="M76" s="606">
        <f>P76-J76</f>
        <v>50708</v>
      </c>
      <c r="N76" s="606">
        <f>Q76-K76</f>
        <v>64931</v>
      </c>
      <c r="O76" s="505">
        <f t="shared" si="102"/>
        <v>28</v>
      </c>
      <c r="P76" s="606">
        <v>123815</v>
      </c>
      <c r="Q76" s="606">
        <v>112127</v>
      </c>
      <c r="R76" s="505">
        <f t="shared" si="103"/>
        <v>-9.4</v>
      </c>
      <c r="S76" s="606">
        <f>V76-P76</f>
        <v>59301</v>
      </c>
      <c r="T76" s="606">
        <f>W76-Q76</f>
        <v>44240</v>
      </c>
      <c r="U76" s="505">
        <f t="shared" si="104"/>
        <v>-25.4</v>
      </c>
      <c r="V76" s="606">
        <v>183116</v>
      </c>
      <c r="W76" s="606">
        <v>156367</v>
      </c>
      <c r="X76" s="505">
        <f t="shared" si="106"/>
        <v>-14.6</v>
      </c>
      <c r="Y76" s="606">
        <f>AB76-V76</f>
        <v>53430</v>
      </c>
      <c r="Z76" s="606">
        <f>AC76-W76</f>
        <v>79154</v>
      </c>
      <c r="AA76" s="505">
        <f t="shared" si="107"/>
        <v>48.1</v>
      </c>
      <c r="AB76" s="606">
        <v>236546</v>
      </c>
      <c r="AC76" s="606">
        <v>235521</v>
      </c>
      <c r="AD76" s="505">
        <f t="shared" si="109"/>
        <v>-0.4</v>
      </c>
      <c r="AE76" s="606">
        <f>AH76-AB76</f>
        <v>35233</v>
      </c>
      <c r="AF76" s="606">
        <f>AI76-AC76</f>
        <v>60468</v>
      </c>
      <c r="AG76" s="505">
        <f t="shared" si="110"/>
        <v>71.599999999999994</v>
      </c>
      <c r="AH76" s="606">
        <v>271779</v>
      </c>
      <c r="AI76" s="606">
        <v>295989</v>
      </c>
      <c r="AJ76" s="505">
        <f t="shared" si="112"/>
        <v>8.9</v>
      </c>
    </row>
    <row r="77" spans="1:36" ht="22.5" customHeight="1">
      <c r="A77" s="668"/>
      <c r="B77" s="754"/>
      <c r="C77" s="764"/>
      <c r="D77" s="667" t="s">
        <v>9</v>
      </c>
      <c r="E77" s="415">
        <f t="shared" ref="E77:G77" si="117">E76/E75*1000</f>
        <v>2000.1446397811992</v>
      </c>
      <c r="F77" s="202">
        <f t="shared" si="117"/>
        <v>2450.9180280468408</v>
      </c>
      <c r="G77" s="178">
        <f t="shared" si="117"/>
        <v>2429.9516497950494</v>
      </c>
      <c r="H77" s="402">
        <f>H76/H75*1000</f>
        <v>2156.9467313108717</v>
      </c>
      <c r="I77" s="514">
        <f>I76/I75*1000</f>
        <v>1988.3283604926937</v>
      </c>
      <c r="J77" s="514">
        <f>J76/J75*1000</f>
        <v>2080.331227590917</v>
      </c>
      <c r="K77" s="514">
        <f>K76/K75*1000</f>
        <v>2160.4943923094529</v>
      </c>
      <c r="L77" s="506">
        <f t="shared" si="101"/>
        <v>3.9</v>
      </c>
      <c r="M77" s="514">
        <f>M76/M75*1000</f>
        <v>2068.0261011419248</v>
      </c>
      <c r="N77" s="514">
        <f>N76/N75*1000</f>
        <v>2187.4810497591211</v>
      </c>
      <c r="O77" s="506">
        <f t="shared" si="102"/>
        <v>5.8</v>
      </c>
      <c r="P77" s="514">
        <f>P76/P75*1000</f>
        <v>2075.2740437799603</v>
      </c>
      <c r="Q77" s="514">
        <f>Q76/Q75*1000</f>
        <v>2176.0402111473372</v>
      </c>
      <c r="R77" s="506">
        <f t="shared" si="103"/>
        <v>4.9000000000000004</v>
      </c>
      <c r="S77" s="514">
        <f>S76/S75*1000</f>
        <v>1978.2166327517764</v>
      </c>
      <c r="T77" s="514">
        <f>T76/T75*1000</f>
        <v>2236.3765038924271</v>
      </c>
      <c r="U77" s="506">
        <f t="shared" si="104"/>
        <v>13.1</v>
      </c>
      <c r="V77" s="514">
        <f>V76/V75*1000</f>
        <v>2042.8161849195105</v>
      </c>
      <c r="W77" s="514">
        <f t="shared" ref="W77" si="118">W76/W75*1000</f>
        <v>2192.7780114990883</v>
      </c>
      <c r="X77" s="506">
        <f t="shared" si="106"/>
        <v>7.3</v>
      </c>
      <c r="Y77" s="514">
        <f>Y76/Y75*1000</f>
        <v>1839.5593045274575</v>
      </c>
      <c r="Z77" s="514">
        <f>Z76/Z75*1000</f>
        <v>2153.0887033158338</v>
      </c>
      <c r="AA77" s="506">
        <f t="shared" si="107"/>
        <v>17</v>
      </c>
      <c r="AB77" s="514">
        <f>AB76/AB75*1000</f>
        <v>1993.0740453641602</v>
      </c>
      <c r="AC77" s="514">
        <f t="shared" ref="AC77" si="119">AC76/AC75*1000</f>
        <v>2179.276970196071</v>
      </c>
      <c r="AD77" s="506">
        <f t="shared" si="109"/>
        <v>9.3000000000000007</v>
      </c>
      <c r="AE77" s="514">
        <f>AE76/AE75*1000</f>
        <v>1820.7327786677693</v>
      </c>
      <c r="AF77" s="514">
        <f>AF76/AF75*1000</f>
        <v>2275.8854303887988</v>
      </c>
      <c r="AG77" s="506">
        <f t="shared" si="110"/>
        <v>25</v>
      </c>
      <c r="AH77" s="514">
        <f>AH76/AH75*1000</f>
        <v>1968.9136813127107</v>
      </c>
      <c r="AI77" s="514">
        <f t="shared" ref="AI77" si="120">AI76/AI75*1000</f>
        <v>2198.3407851933275</v>
      </c>
      <c r="AJ77" s="506">
        <f t="shared" si="112"/>
        <v>11.7</v>
      </c>
    </row>
    <row r="78" spans="1:36" ht="22.5" customHeight="1">
      <c r="A78" s="668"/>
      <c r="B78" s="752" t="s">
        <v>18</v>
      </c>
      <c r="C78" s="755"/>
      <c r="D78" s="694" t="s">
        <v>569</v>
      </c>
      <c r="E78" s="414">
        <f t="shared" ref="E78:H79" si="121">E81-E75</f>
        <v>4925</v>
      </c>
      <c r="F78" s="201">
        <f t="shared" si="121"/>
        <v>5005</v>
      </c>
      <c r="G78" s="177">
        <f t="shared" si="121"/>
        <v>4414</v>
      </c>
      <c r="H78" s="520">
        <f t="shared" si="121"/>
        <v>4223</v>
      </c>
      <c r="I78" s="607">
        <f>I81-I75</f>
        <v>3763</v>
      </c>
      <c r="J78" s="607">
        <f t="shared" ref="J78:K78" si="122">J81-J75</f>
        <v>346</v>
      </c>
      <c r="K78" s="607">
        <f t="shared" si="122"/>
        <v>288</v>
      </c>
      <c r="L78" s="507">
        <f t="shared" si="101"/>
        <v>-16.8</v>
      </c>
      <c r="M78" s="607">
        <f>M81-M75</f>
        <v>143</v>
      </c>
      <c r="N78" s="607">
        <f>N81-N75</f>
        <v>359</v>
      </c>
      <c r="O78" s="507">
        <f t="shared" si="102"/>
        <v>151</v>
      </c>
      <c r="P78" s="607">
        <f>P81-P75</f>
        <v>489</v>
      </c>
      <c r="Q78" s="607">
        <f>Q81-Q75</f>
        <v>647</v>
      </c>
      <c r="R78" s="507">
        <f t="shared" si="103"/>
        <v>32.299999999999997</v>
      </c>
      <c r="S78" s="607">
        <f>S81-S75</f>
        <v>432</v>
      </c>
      <c r="T78" s="607">
        <f>T81-T75</f>
        <v>168</v>
      </c>
      <c r="U78" s="507">
        <f t="shared" si="104"/>
        <v>-61.1</v>
      </c>
      <c r="V78" s="607">
        <f>V81-V75</f>
        <v>921</v>
      </c>
      <c r="W78" s="607">
        <f>W81-W75</f>
        <v>815</v>
      </c>
      <c r="X78" s="507">
        <f t="shared" si="106"/>
        <v>-11.5</v>
      </c>
      <c r="Y78" s="607">
        <f>Y81-Y75</f>
        <v>427</v>
      </c>
      <c r="Z78" s="607">
        <f>Z81-Z75</f>
        <v>135</v>
      </c>
      <c r="AA78" s="507">
        <f t="shared" si="107"/>
        <v>-68.400000000000006</v>
      </c>
      <c r="AB78" s="607">
        <f>AB81-AB75</f>
        <v>1348</v>
      </c>
      <c r="AC78" s="607">
        <f>AC81-AC75</f>
        <v>950</v>
      </c>
      <c r="AD78" s="507">
        <f t="shared" si="109"/>
        <v>-29.5</v>
      </c>
      <c r="AE78" s="607">
        <f>AE81-AE75</f>
        <v>275</v>
      </c>
      <c r="AF78" s="607">
        <f>AF81-AF75</f>
        <v>112</v>
      </c>
      <c r="AG78" s="507">
        <f t="shared" si="110"/>
        <v>-59.3</v>
      </c>
      <c r="AH78" s="607">
        <f>AH81-AH75</f>
        <v>1623</v>
      </c>
      <c r="AI78" s="607">
        <f>AI81-AI75</f>
        <v>1062</v>
      </c>
      <c r="AJ78" s="507">
        <f t="shared" si="112"/>
        <v>-34.6</v>
      </c>
    </row>
    <row r="79" spans="1:36" ht="22.5" customHeight="1">
      <c r="A79" s="668"/>
      <c r="B79" s="753"/>
      <c r="C79" s="756"/>
      <c r="D79" s="665" t="s">
        <v>8</v>
      </c>
      <c r="E79" s="411">
        <f t="shared" si="121"/>
        <v>16946</v>
      </c>
      <c r="F79" s="196">
        <f t="shared" si="121"/>
        <v>17666</v>
      </c>
      <c r="G79" s="174">
        <f t="shared" si="121"/>
        <v>19384</v>
      </c>
      <c r="H79" s="401">
        <f t="shared" si="121"/>
        <v>19278</v>
      </c>
      <c r="I79" s="606">
        <f>I82-I76</f>
        <v>19466</v>
      </c>
      <c r="J79" s="606">
        <f t="shared" ref="J79:K79" si="123">J82-J76</f>
        <v>1716</v>
      </c>
      <c r="K79" s="606">
        <f t="shared" si="123"/>
        <v>1910</v>
      </c>
      <c r="L79" s="505">
        <f t="shared" si="101"/>
        <v>11.3</v>
      </c>
      <c r="M79" s="606">
        <f>M82-M76</f>
        <v>649</v>
      </c>
      <c r="N79" s="606">
        <f>N82-N76</f>
        <v>997</v>
      </c>
      <c r="O79" s="505">
        <f t="shared" si="102"/>
        <v>53.6</v>
      </c>
      <c r="P79" s="606">
        <f>P82-P76</f>
        <v>2365</v>
      </c>
      <c r="Q79" s="606">
        <f>Q82-Q76</f>
        <v>2907</v>
      </c>
      <c r="R79" s="505">
        <f t="shared" si="103"/>
        <v>22.9</v>
      </c>
      <c r="S79" s="606">
        <f>S82-S76</f>
        <v>2211</v>
      </c>
      <c r="T79" s="606">
        <f>T82-T76</f>
        <v>773</v>
      </c>
      <c r="U79" s="505">
        <f t="shared" si="104"/>
        <v>-65</v>
      </c>
      <c r="V79" s="606">
        <f>V82-V76</f>
        <v>4576</v>
      </c>
      <c r="W79" s="606">
        <f>W82-W76</f>
        <v>3680</v>
      </c>
      <c r="X79" s="505">
        <f t="shared" si="106"/>
        <v>-19.600000000000001</v>
      </c>
      <c r="Y79" s="606">
        <f>Y82-Y76</f>
        <v>1946</v>
      </c>
      <c r="Z79" s="606">
        <f>Z82-Z76</f>
        <v>805</v>
      </c>
      <c r="AA79" s="505">
        <f t="shared" si="107"/>
        <v>-58.6</v>
      </c>
      <c r="AB79" s="606">
        <f>AB82-AB76</f>
        <v>6522</v>
      </c>
      <c r="AC79" s="606">
        <f>AC82-AC76</f>
        <v>4485</v>
      </c>
      <c r="AD79" s="505">
        <f t="shared" si="109"/>
        <v>-31.2</v>
      </c>
      <c r="AE79" s="606">
        <f>AE82-AE76</f>
        <v>1222</v>
      </c>
      <c r="AF79" s="606">
        <f>AF82-AF76</f>
        <v>704</v>
      </c>
      <c r="AG79" s="505">
        <f t="shared" si="110"/>
        <v>-42.4</v>
      </c>
      <c r="AH79" s="606">
        <f>AH82-AH76</f>
        <v>7744</v>
      </c>
      <c r="AI79" s="606">
        <f>AI82-AI76</f>
        <v>5189</v>
      </c>
      <c r="AJ79" s="505">
        <f t="shared" si="112"/>
        <v>-33</v>
      </c>
    </row>
    <row r="80" spans="1:36" ht="22.5" customHeight="1">
      <c r="A80" s="668"/>
      <c r="B80" s="754"/>
      <c r="C80" s="757"/>
      <c r="D80" s="667" t="s">
        <v>9</v>
      </c>
      <c r="E80" s="415">
        <f t="shared" ref="E80:G80" si="124">E79/E78*1000</f>
        <v>3440.8121827411169</v>
      </c>
      <c r="F80" s="202">
        <f t="shared" si="124"/>
        <v>3529.6703296703295</v>
      </c>
      <c r="G80" s="178">
        <f t="shared" si="124"/>
        <v>4391.4816492976888</v>
      </c>
      <c r="H80" s="405">
        <f>H79/H78*1000</f>
        <v>4565.0011839924227</v>
      </c>
      <c r="I80" s="514">
        <f>I79/I78*1000</f>
        <v>5173.0002657454161</v>
      </c>
      <c r="J80" s="514">
        <f>J79/J78*1000</f>
        <v>4959.5375722543358</v>
      </c>
      <c r="K80" s="514">
        <f>K79/K78*1000</f>
        <v>6631.9444444444443</v>
      </c>
      <c r="L80" s="506">
        <f t="shared" si="101"/>
        <v>33.700000000000003</v>
      </c>
      <c r="M80" s="514">
        <f>M79/M78*1000</f>
        <v>4538.4615384615381</v>
      </c>
      <c r="N80" s="514">
        <f>N79/N78*1000</f>
        <v>2777.1587743732589</v>
      </c>
      <c r="O80" s="506">
        <f t="shared" si="102"/>
        <v>-38.799999999999997</v>
      </c>
      <c r="P80" s="514">
        <f>P79/P78*1000</f>
        <v>4836.4008179959101</v>
      </c>
      <c r="Q80" s="514">
        <f>Q79/Q78*1000</f>
        <v>4493.0448222565692</v>
      </c>
      <c r="R80" s="506">
        <f t="shared" si="103"/>
        <v>-7.1</v>
      </c>
      <c r="S80" s="514">
        <f>S79/S78*1000</f>
        <v>5118.0555555555557</v>
      </c>
      <c r="T80" s="514">
        <f>T79/T78*1000</f>
        <v>4601.1904761904761</v>
      </c>
      <c r="U80" s="506">
        <f t="shared" si="104"/>
        <v>-10.1</v>
      </c>
      <c r="V80" s="514">
        <f>V79/V78*1000</f>
        <v>4968.5124864277959</v>
      </c>
      <c r="W80" s="514">
        <f t="shared" ref="W80" si="125">W79/W78*1000</f>
        <v>4515.3374233128834</v>
      </c>
      <c r="X80" s="506">
        <f t="shared" si="106"/>
        <v>-9.1</v>
      </c>
      <c r="Y80" s="514">
        <f>Y79/Y78*1000</f>
        <v>4557.377049180328</v>
      </c>
      <c r="Z80" s="514">
        <f>Z79/Z78*1000</f>
        <v>5962.9629629629626</v>
      </c>
      <c r="AA80" s="506">
        <f t="shared" si="107"/>
        <v>30.8</v>
      </c>
      <c r="AB80" s="514">
        <f>AB79/AB78*1000</f>
        <v>4838.2789317507422</v>
      </c>
      <c r="AC80" s="514">
        <f t="shared" ref="AC80" si="126">AC79/AC78*1000</f>
        <v>4721.0526315789475</v>
      </c>
      <c r="AD80" s="506">
        <f t="shared" si="109"/>
        <v>-2.4</v>
      </c>
      <c r="AE80" s="514">
        <f>AE79/AE78*1000</f>
        <v>4443.6363636363631</v>
      </c>
      <c r="AF80" s="514">
        <f>AF79/AF78*1000</f>
        <v>6285.7142857142853</v>
      </c>
      <c r="AG80" s="506">
        <f t="shared" si="110"/>
        <v>41.5</v>
      </c>
      <c r="AH80" s="514">
        <f>AH79/AH78*1000</f>
        <v>4771.4109673444236</v>
      </c>
      <c r="AI80" s="514">
        <f t="shared" ref="AI80" si="127">AI79/AI78*1000</f>
        <v>4886.0640301318272</v>
      </c>
      <c r="AJ80" s="506">
        <f t="shared" si="112"/>
        <v>2.4</v>
      </c>
    </row>
    <row r="81" spans="1:36" ht="22.5" customHeight="1">
      <c r="A81" s="668"/>
      <c r="B81" s="779" t="s">
        <v>19</v>
      </c>
      <c r="C81" s="782"/>
      <c r="D81" s="12" t="s">
        <v>569</v>
      </c>
      <c r="E81" s="416">
        <v>385180</v>
      </c>
      <c r="F81" s="203">
        <v>343938</v>
      </c>
      <c r="G81" s="179">
        <v>357670</v>
      </c>
      <c r="H81" s="406">
        <v>354654</v>
      </c>
      <c r="I81" s="521">
        <v>330538</v>
      </c>
      <c r="J81" s="521">
        <v>35488</v>
      </c>
      <c r="K81" s="521">
        <v>22133</v>
      </c>
      <c r="L81" s="508">
        <f t="shared" si="101"/>
        <v>-37.6</v>
      </c>
      <c r="M81" s="521">
        <f>P81-J81</f>
        <v>24663</v>
      </c>
      <c r="N81" s="521">
        <f>Q81-K81</f>
        <v>30042</v>
      </c>
      <c r="O81" s="508">
        <f t="shared" si="102"/>
        <v>21.8</v>
      </c>
      <c r="P81" s="521">
        <v>60151</v>
      </c>
      <c r="Q81" s="521">
        <v>52175</v>
      </c>
      <c r="R81" s="508">
        <f t="shared" si="103"/>
        <v>-13.3</v>
      </c>
      <c r="S81" s="521">
        <f>V81-P81</f>
        <v>30409</v>
      </c>
      <c r="T81" s="521">
        <f>W81-Q81</f>
        <v>19950</v>
      </c>
      <c r="U81" s="508">
        <f t="shared" si="104"/>
        <v>-34.4</v>
      </c>
      <c r="V81" s="521">
        <v>90560</v>
      </c>
      <c r="W81" s="521">
        <v>72125</v>
      </c>
      <c r="X81" s="508">
        <f t="shared" si="106"/>
        <v>-20.399999999999999</v>
      </c>
      <c r="Y81" s="521">
        <f>AB81-V81</f>
        <v>29472</v>
      </c>
      <c r="Z81" s="521">
        <f>AC81-W81</f>
        <v>36898</v>
      </c>
      <c r="AA81" s="508">
        <f t="shared" si="107"/>
        <v>25.2</v>
      </c>
      <c r="AB81" s="521">
        <v>120032</v>
      </c>
      <c r="AC81" s="521">
        <v>109023</v>
      </c>
      <c r="AD81" s="508">
        <f t="shared" si="109"/>
        <v>-9.1999999999999993</v>
      </c>
      <c r="AE81" s="521">
        <f>AH81-AB81</f>
        <v>19626</v>
      </c>
      <c r="AF81" s="521">
        <f>AI81-AC81</f>
        <v>26681</v>
      </c>
      <c r="AG81" s="508">
        <f t="shared" si="110"/>
        <v>35.9</v>
      </c>
      <c r="AH81" s="521">
        <v>139658</v>
      </c>
      <c r="AI81" s="521">
        <v>135704</v>
      </c>
      <c r="AJ81" s="508">
        <f t="shared" si="112"/>
        <v>-2.8</v>
      </c>
    </row>
    <row r="82" spans="1:36" ht="22.5" customHeight="1">
      <c r="A82" s="668"/>
      <c r="B82" s="780"/>
      <c r="C82" s="783"/>
      <c r="D82" s="664" t="s">
        <v>252</v>
      </c>
      <c r="E82" s="417">
        <v>777511</v>
      </c>
      <c r="F82" s="204">
        <v>848363</v>
      </c>
      <c r="G82" s="180">
        <v>877779</v>
      </c>
      <c r="H82" s="407">
        <v>775139</v>
      </c>
      <c r="I82" s="522">
        <v>669202</v>
      </c>
      <c r="J82" s="522">
        <v>74823</v>
      </c>
      <c r="K82" s="522">
        <v>49106</v>
      </c>
      <c r="L82" s="509">
        <f t="shared" si="101"/>
        <v>-34.4</v>
      </c>
      <c r="M82" s="522">
        <f>P82-J82</f>
        <v>51357</v>
      </c>
      <c r="N82" s="522">
        <f>Q82-K82</f>
        <v>65928</v>
      </c>
      <c r="O82" s="509">
        <f t="shared" si="102"/>
        <v>28.4</v>
      </c>
      <c r="P82" s="522">
        <v>126180</v>
      </c>
      <c r="Q82" s="522">
        <v>115034</v>
      </c>
      <c r="R82" s="509">
        <f t="shared" si="103"/>
        <v>-8.8000000000000007</v>
      </c>
      <c r="S82" s="522">
        <f>V82-P82</f>
        <v>61512</v>
      </c>
      <c r="T82" s="522">
        <f>W82-Q82</f>
        <v>45013</v>
      </c>
      <c r="U82" s="509">
        <f t="shared" si="104"/>
        <v>-26.8</v>
      </c>
      <c r="V82" s="522">
        <v>187692</v>
      </c>
      <c r="W82" s="522">
        <v>160047</v>
      </c>
      <c r="X82" s="509">
        <f t="shared" si="106"/>
        <v>-14.7</v>
      </c>
      <c r="Y82" s="522">
        <f>AB82-V82</f>
        <v>55376</v>
      </c>
      <c r="Z82" s="522">
        <f>AC82-W82</f>
        <v>79959</v>
      </c>
      <c r="AA82" s="509">
        <f t="shared" si="107"/>
        <v>44.4</v>
      </c>
      <c r="AB82" s="522">
        <v>243068</v>
      </c>
      <c r="AC82" s="522">
        <v>240006</v>
      </c>
      <c r="AD82" s="509">
        <f t="shared" si="109"/>
        <v>-1.3</v>
      </c>
      <c r="AE82" s="522">
        <f>AH82-AB82</f>
        <v>36455</v>
      </c>
      <c r="AF82" s="522">
        <f>AI82-AC82</f>
        <v>61172</v>
      </c>
      <c r="AG82" s="509">
        <f t="shared" si="110"/>
        <v>67.8</v>
      </c>
      <c r="AH82" s="522">
        <v>279523</v>
      </c>
      <c r="AI82" s="522">
        <v>301178</v>
      </c>
      <c r="AJ82" s="509">
        <f t="shared" si="112"/>
        <v>7.7</v>
      </c>
    </row>
    <row r="83" spans="1:36" ht="22.5" customHeight="1">
      <c r="A83" s="671"/>
      <c r="B83" s="781"/>
      <c r="C83" s="784"/>
      <c r="D83" s="670" t="s">
        <v>296</v>
      </c>
      <c r="E83" s="418">
        <f t="shared" ref="E83:G83" si="128">E82/E81*1000</f>
        <v>2018.5653460719664</v>
      </c>
      <c r="F83" s="205">
        <f t="shared" si="128"/>
        <v>2466.6160761532601</v>
      </c>
      <c r="G83" s="181">
        <f t="shared" si="128"/>
        <v>2454.1588615203959</v>
      </c>
      <c r="H83" s="408">
        <f>H82/H81*1000</f>
        <v>2185.6203511027647</v>
      </c>
      <c r="I83" s="515">
        <f>I82/I81*1000</f>
        <v>2024.5841627891496</v>
      </c>
      <c r="J83" s="515">
        <f>J82/J81*1000</f>
        <v>2108.4028403967541</v>
      </c>
      <c r="K83" s="515">
        <f>K82/K81*1000</f>
        <v>2218.6779921384359</v>
      </c>
      <c r="L83" s="510">
        <f t="shared" si="101"/>
        <v>5.2</v>
      </c>
      <c r="M83" s="515">
        <f>M82/M81*1000</f>
        <v>2082.3500790658072</v>
      </c>
      <c r="N83" s="515">
        <f>N82/N81*1000</f>
        <v>2194.5276612742164</v>
      </c>
      <c r="O83" s="510">
        <f t="shared" si="102"/>
        <v>5.4</v>
      </c>
      <c r="P83" s="515">
        <f>P82/P81*1000</f>
        <v>2097.7207361473625</v>
      </c>
      <c r="Q83" s="515">
        <f>Q82/Q81*1000</f>
        <v>2204.7724005749878</v>
      </c>
      <c r="R83" s="510">
        <f t="shared" si="103"/>
        <v>5.0999999999999996</v>
      </c>
      <c r="S83" s="515">
        <f>S82/S81*1000</f>
        <v>2022.822190798777</v>
      </c>
      <c r="T83" s="515">
        <f>T82/T81*1000</f>
        <v>2256.2907268170425</v>
      </c>
      <c r="U83" s="510">
        <f t="shared" si="104"/>
        <v>11.5</v>
      </c>
      <c r="V83" s="515">
        <f>V82/V81*1000</f>
        <v>2072.5706713780919</v>
      </c>
      <c r="W83" s="515">
        <f t="shared" ref="W83" si="129">W82/W81*1000</f>
        <v>2219.0225303292896</v>
      </c>
      <c r="X83" s="510">
        <f t="shared" si="106"/>
        <v>7.1</v>
      </c>
      <c r="Y83" s="515">
        <f>Y82/Y81*1000</f>
        <v>1878.9359391965254</v>
      </c>
      <c r="Z83" s="515">
        <f>Z82/Z81*1000</f>
        <v>2167.0280231990896</v>
      </c>
      <c r="AA83" s="510">
        <f t="shared" si="107"/>
        <v>15.3</v>
      </c>
      <c r="AB83" s="515">
        <f t="shared" ref="AB83:AC83" si="130">AB82/AB81*1000</f>
        <v>2025.0266595574512</v>
      </c>
      <c r="AC83" s="515">
        <f t="shared" si="130"/>
        <v>2201.4253873035964</v>
      </c>
      <c r="AD83" s="510">
        <f t="shared" si="109"/>
        <v>8.6999999999999993</v>
      </c>
      <c r="AE83" s="515">
        <f>AE82/AE81*1000</f>
        <v>1857.4849689187811</v>
      </c>
      <c r="AF83" s="515">
        <f>AF82/AF81*1000</f>
        <v>2292.7176642554628</v>
      </c>
      <c r="AG83" s="510">
        <f t="shared" si="110"/>
        <v>23.4</v>
      </c>
      <c r="AH83" s="515">
        <f t="shared" ref="AH83:AI83" si="131">AH82/AH81*1000</f>
        <v>2001.4821922124045</v>
      </c>
      <c r="AI83" s="515">
        <f t="shared" si="131"/>
        <v>2219.3745210163297</v>
      </c>
      <c r="AJ83" s="510">
        <f t="shared" si="112"/>
        <v>10.9</v>
      </c>
    </row>
    <row r="84" spans="1:36" ht="22.5" customHeight="1">
      <c r="A84" s="778" t="s">
        <v>28</v>
      </c>
      <c r="B84" s="752" t="s">
        <v>26</v>
      </c>
      <c r="C84" s="755">
        <v>7502</v>
      </c>
      <c r="D84" s="694" t="s">
        <v>569</v>
      </c>
      <c r="E84" s="414">
        <v>13284</v>
      </c>
      <c r="F84" s="201">
        <v>6328</v>
      </c>
      <c r="G84" s="177">
        <v>1902</v>
      </c>
      <c r="H84" s="520">
        <v>1945</v>
      </c>
      <c r="I84" s="607">
        <v>1797</v>
      </c>
      <c r="J84" s="607">
        <v>80</v>
      </c>
      <c r="K84" s="607">
        <v>323</v>
      </c>
      <c r="L84" s="507">
        <f t="shared" si="101"/>
        <v>303.8</v>
      </c>
      <c r="M84" s="607">
        <f>P84-J84</f>
        <v>222</v>
      </c>
      <c r="N84" s="607">
        <f>Q84-K84</f>
        <v>147</v>
      </c>
      <c r="O84" s="507">
        <f t="shared" si="102"/>
        <v>-33.799999999999997</v>
      </c>
      <c r="P84" s="607">
        <v>302</v>
      </c>
      <c r="Q84" s="607">
        <v>470</v>
      </c>
      <c r="R84" s="507">
        <f t="shared" si="103"/>
        <v>55.6</v>
      </c>
      <c r="S84" s="607">
        <f>V84-P84</f>
        <v>-66</v>
      </c>
      <c r="T84" s="607">
        <f>W84-Q84</f>
        <v>33</v>
      </c>
      <c r="U84" s="507">
        <f t="shared" si="104"/>
        <v>-150</v>
      </c>
      <c r="V84" s="607">
        <v>236</v>
      </c>
      <c r="W84" s="607">
        <v>503</v>
      </c>
      <c r="X84" s="507">
        <f t="shared" si="106"/>
        <v>113.1</v>
      </c>
      <c r="Y84" s="607">
        <f>AB84-V84</f>
        <v>104</v>
      </c>
      <c r="Z84" s="607">
        <f>AC84-W84</f>
        <v>224</v>
      </c>
      <c r="AA84" s="507">
        <f t="shared" si="107"/>
        <v>115.4</v>
      </c>
      <c r="AB84" s="607">
        <v>340</v>
      </c>
      <c r="AC84" s="607">
        <v>727</v>
      </c>
      <c r="AD84" s="507">
        <f t="shared" si="109"/>
        <v>113.8</v>
      </c>
      <c r="AE84" s="607">
        <f>AH84-AB84</f>
        <v>29</v>
      </c>
      <c r="AF84" s="607">
        <f>AI84-AC84</f>
        <v>233</v>
      </c>
      <c r="AG84" s="507">
        <f t="shared" si="110"/>
        <v>703.4</v>
      </c>
      <c r="AH84" s="607">
        <v>369</v>
      </c>
      <c r="AI84" s="607">
        <v>960</v>
      </c>
      <c r="AJ84" s="507">
        <f t="shared" si="112"/>
        <v>160.19999999999999</v>
      </c>
    </row>
    <row r="85" spans="1:36" ht="22.5" customHeight="1">
      <c r="A85" s="769"/>
      <c r="B85" s="753"/>
      <c r="C85" s="756"/>
      <c r="D85" s="665" t="s">
        <v>8</v>
      </c>
      <c r="E85" s="411">
        <v>117392</v>
      </c>
      <c r="F85" s="196">
        <v>65853</v>
      </c>
      <c r="G85" s="174">
        <v>28052</v>
      </c>
      <c r="H85" s="401">
        <v>28403</v>
      </c>
      <c r="I85" s="606">
        <v>26053</v>
      </c>
      <c r="J85" s="606">
        <v>1204</v>
      </c>
      <c r="K85" s="606">
        <v>5530</v>
      </c>
      <c r="L85" s="505">
        <f t="shared" si="101"/>
        <v>359.3</v>
      </c>
      <c r="M85" s="606">
        <f>P85-J85</f>
        <v>2939</v>
      </c>
      <c r="N85" s="606">
        <f>Q85-K85</f>
        <v>2719</v>
      </c>
      <c r="O85" s="505">
        <f t="shared" si="102"/>
        <v>-7.5</v>
      </c>
      <c r="P85" s="606">
        <v>4143</v>
      </c>
      <c r="Q85" s="606">
        <v>8249</v>
      </c>
      <c r="R85" s="505">
        <f t="shared" si="103"/>
        <v>99.1</v>
      </c>
      <c r="S85" s="606">
        <f>V85-P85</f>
        <v>420</v>
      </c>
      <c r="T85" s="606">
        <f>W85-Q85</f>
        <v>648</v>
      </c>
      <c r="U85" s="505">
        <f t="shared" si="104"/>
        <v>54.3</v>
      </c>
      <c r="V85" s="606">
        <v>4563</v>
      </c>
      <c r="W85" s="606">
        <v>8897</v>
      </c>
      <c r="X85" s="505">
        <f t="shared" si="106"/>
        <v>95</v>
      </c>
      <c r="Y85" s="606">
        <f>AB85-V85</f>
        <v>206</v>
      </c>
      <c r="Z85" s="606">
        <f>AC85-W85</f>
        <v>3741</v>
      </c>
      <c r="AA85" s="505">
        <f t="shared" si="107"/>
        <v>1716</v>
      </c>
      <c r="AB85" s="606">
        <v>4769</v>
      </c>
      <c r="AC85" s="606">
        <v>12638</v>
      </c>
      <c r="AD85" s="505">
        <f t="shared" si="109"/>
        <v>165</v>
      </c>
      <c r="AE85" s="606">
        <f>AH85-AB85</f>
        <v>358</v>
      </c>
      <c r="AF85" s="606">
        <f>AI85-AC85</f>
        <v>4024</v>
      </c>
      <c r="AG85" s="505">
        <f t="shared" si="110"/>
        <v>1024</v>
      </c>
      <c r="AH85" s="606">
        <v>5127</v>
      </c>
      <c r="AI85" s="606">
        <v>16662</v>
      </c>
      <c r="AJ85" s="505">
        <f t="shared" si="112"/>
        <v>225</v>
      </c>
    </row>
    <row r="86" spans="1:36" ht="22.5" customHeight="1">
      <c r="A86" s="668"/>
      <c r="B86" s="754"/>
      <c r="C86" s="757"/>
      <c r="D86" s="667" t="s">
        <v>9</v>
      </c>
      <c r="E86" s="415">
        <f t="shared" ref="E86:G86" si="132">E85/E84*1000</f>
        <v>8837.0972598614862</v>
      </c>
      <c r="F86" s="202">
        <f t="shared" si="132"/>
        <v>10406.605562579014</v>
      </c>
      <c r="G86" s="178">
        <f t="shared" si="132"/>
        <v>14748.685594111463</v>
      </c>
      <c r="H86" s="402">
        <f>H85/H84*1000</f>
        <v>14603.084832904884</v>
      </c>
      <c r="I86" s="514">
        <f>I85/I84*1000</f>
        <v>14498.052309404564</v>
      </c>
      <c r="J86" s="514">
        <f>J85/J84*1000</f>
        <v>15050</v>
      </c>
      <c r="K86" s="514">
        <f>K85/K84*1000</f>
        <v>17120.743034055729</v>
      </c>
      <c r="L86" s="506">
        <f t="shared" si="101"/>
        <v>13.8</v>
      </c>
      <c r="M86" s="514">
        <f>M85/M84*1000</f>
        <v>13238.738738738739</v>
      </c>
      <c r="N86" s="514">
        <f>N85/N84*1000</f>
        <v>18496.598639455784</v>
      </c>
      <c r="O86" s="506">
        <f t="shared" si="102"/>
        <v>39.700000000000003</v>
      </c>
      <c r="P86" s="514">
        <f>P85/P84*1000</f>
        <v>13718.543046357616</v>
      </c>
      <c r="Q86" s="514">
        <f>Q85/Q84*1000</f>
        <v>17551.063829787236</v>
      </c>
      <c r="R86" s="506">
        <f t="shared" si="103"/>
        <v>27.9</v>
      </c>
      <c r="S86" s="514">
        <f>S85/S84*1000</f>
        <v>-6363.6363636363631</v>
      </c>
      <c r="T86" s="514">
        <f>T85/T84*1000</f>
        <v>19636.363636363636</v>
      </c>
      <c r="U86" s="506">
        <f t="shared" si="104"/>
        <v>-408.6</v>
      </c>
      <c r="V86" s="514">
        <f>V85/V84*1000</f>
        <v>19334.745762711864</v>
      </c>
      <c r="W86" s="514">
        <f t="shared" ref="W86" si="133">W85/W84*1000</f>
        <v>17687.872763419484</v>
      </c>
      <c r="X86" s="506">
        <f t="shared" si="106"/>
        <v>-8.5</v>
      </c>
      <c r="Y86" s="514">
        <f>Y85/Y84*1000</f>
        <v>1980.7692307692309</v>
      </c>
      <c r="Z86" s="514">
        <f>Z85/Z84*1000</f>
        <v>16700.892857142859</v>
      </c>
      <c r="AA86" s="506">
        <f t="shared" si="107"/>
        <v>743.2</v>
      </c>
      <c r="AB86" s="514">
        <f>AB85/AB84*1000</f>
        <v>14026.470588235296</v>
      </c>
      <c r="AC86" s="514">
        <f t="shared" ref="AC86" si="134">AC85/AC84*1000</f>
        <v>17383.768913342505</v>
      </c>
      <c r="AD86" s="506">
        <f t="shared" si="109"/>
        <v>23.9</v>
      </c>
      <c r="AE86" s="514">
        <f>AE85/AE84*1000</f>
        <v>12344.827586206897</v>
      </c>
      <c r="AF86" s="514">
        <f>AF85/AF84*1000</f>
        <v>17270.386266094421</v>
      </c>
      <c r="AG86" s="506">
        <f t="shared" si="110"/>
        <v>39.9</v>
      </c>
      <c r="AH86" s="514">
        <f>AH85/AH84*1000</f>
        <v>13894.308943089431</v>
      </c>
      <c r="AI86" s="514">
        <f t="shared" ref="AI86" si="135">AI85/AI84*1000</f>
        <v>17356.25</v>
      </c>
      <c r="AJ86" s="506">
        <f t="shared" si="112"/>
        <v>24.9</v>
      </c>
    </row>
    <row r="87" spans="1:36" ht="22.5" customHeight="1">
      <c r="A87" s="668"/>
      <c r="B87" s="752" t="s">
        <v>18</v>
      </c>
      <c r="C87" s="755"/>
      <c r="D87" s="694" t="s">
        <v>569</v>
      </c>
      <c r="E87" s="414">
        <f t="shared" ref="E87:H88" si="136">E90-E84</f>
        <v>9790</v>
      </c>
      <c r="F87" s="201">
        <f t="shared" si="136"/>
        <v>10241</v>
      </c>
      <c r="G87" s="177">
        <f t="shared" si="136"/>
        <v>10543</v>
      </c>
      <c r="H87" s="520">
        <f t="shared" si="136"/>
        <v>19847</v>
      </c>
      <c r="I87" s="607">
        <f>I90-I84</f>
        <v>13112</v>
      </c>
      <c r="J87" s="607">
        <f t="shared" ref="J87:K87" si="137">J90-J84</f>
        <v>992</v>
      </c>
      <c r="K87" s="607">
        <f t="shared" si="137"/>
        <v>1032</v>
      </c>
      <c r="L87" s="507">
        <f t="shared" si="101"/>
        <v>4</v>
      </c>
      <c r="M87" s="607">
        <f>M90-M84</f>
        <v>752</v>
      </c>
      <c r="N87" s="607">
        <f>N90-N84</f>
        <v>1458</v>
      </c>
      <c r="O87" s="507">
        <f t="shared" si="102"/>
        <v>93.9</v>
      </c>
      <c r="P87" s="607">
        <f>P90-P84</f>
        <v>1744</v>
      </c>
      <c r="Q87" s="607">
        <f>Q90-Q84</f>
        <v>2490</v>
      </c>
      <c r="R87" s="507">
        <f t="shared" si="103"/>
        <v>42.8</v>
      </c>
      <c r="S87" s="607">
        <f>S90-S84</f>
        <v>1526</v>
      </c>
      <c r="T87" s="607">
        <f>T90-T84</f>
        <v>1242</v>
      </c>
      <c r="U87" s="507">
        <f t="shared" si="104"/>
        <v>-18.600000000000001</v>
      </c>
      <c r="V87" s="607">
        <f>V90-V84</f>
        <v>3270</v>
      </c>
      <c r="W87" s="607">
        <f>W90-W84</f>
        <v>3732</v>
      </c>
      <c r="X87" s="507">
        <f t="shared" si="106"/>
        <v>14.1</v>
      </c>
      <c r="Y87" s="607">
        <f>Y90-Y84</f>
        <v>1295</v>
      </c>
      <c r="Z87" s="607">
        <f>Z90-Z84</f>
        <v>1742</v>
      </c>
      <c r="AA87" s="507">
        <f t="shared" si="107"/>
        <v>34.5</v>
      </c>
      <c r="AB87" s="607">
        <f>AB90-AB84</f>
        <v>4565</v>
      </c>
      <c r="AC87" s="607">
        <f>AC90-AC84</f>
        <v>5474</v>
      </c>
      <c r="AD87" s="507">
        <f t="shared" si="109"/>
        <v>19.899999999999999</v>
      </c>
      <c r="AE87" s="607">
        <f>AE90-AE84</f>
        <v>1231</v>
      </c>
      <c r="AF87" s="607">
        <f>AF90-AF84</f>
        <v>1249</v>
      </c>
      <c r="AG87" s="507">
        <f t="shared" si="110"/>
        <v>1.5</v>
      </c>
      <c r="AH87" s="607">
        <f>AH90-AH84</f>
        <v>5796</v>
      </c>
      <c r="AI87" s="607">
        <f>AI90-AI84</f>
        <v>6723</v>
      </c>
      <c r="AJ87" s="507">
        <f t="shared" si="112"/>
        <v>16</v>
      </c>
    </row>
    <row r="88" spans="1:36" ht="22.5" customHeight="1">
      <c r="A88" s="668"/>
      <c r="B88" s="753"/>
      <c r="C88" s="756"/>
      <c r="D88" s="665" t="s">
        <v>8</v>
      </c>
      <c r="E88" s="411">
        <f t="shared" si="136"/>
        <v>64785</v>
      </c>
      <c r="F88" s="196">
        <f t="shared" si="136"/>
        <v>85086</v>
      </c>
      <c r="G88" s="174">
        <f t="shared" si="136"/>
        <v>114231</v>
      </c>
      <c r="H88" s="401">
        <f t="shared" si="136"/>
        <v>157606</v>
      </c>
      <c r="I88" s="606">
        <f>I91-I85</f>
        <v>119753</v>
      </c>
      <c r="J88" s="606">
        <f t="shared" ref="J88:K88" si="138">J91-J85</f>
        <v>9151</v>
      </c>
      <c r="K88" s="606">
        <f t="shared" si="138"/>
        <v>8473</v>
      </c>
      <c r="L88" s="505">
        <f t="shared" si="101"/>
        <v>-7.4</v>
      </c>
      <c r="M88" s="606">
        <f>M91-M85</f>
        <v>8179</v>
      </c>
      <c r="N88" s="606">
        <f>N91-N85</f>
        <v>9549</v>
      </c>
      <c r="O88" s="505">
        <f t="shared" si="102"/>
        <v>16.8</v>
      </c>
      <c r="P88" s="606">
        <f>P91-P85</f>
        <v>17330</v>
      </c>
      <c r="Q88" s="606">
        <f>Q91-Q85</f>
        <v>18022</v>
      </c>
      <c r="R88" s="505">
        <f t="shared" si="103"/>
        <v>4</v>
      </c>
      <c r="S88" s="606">
        <f>S91-S85</f>
        <v>11422</v>
      </c>
      <c r="T88" s="606">
        <f>T91-T85</f>
        <v>12754</v>
      </c>
      <c r="U88" s="505">
        <f t="shared" si="104"/>
        <v>11.7</v>
      </c>
      <c r="V88" s="606">
        <f>V91-V85</f>
        <v>28752</v>
      </c>
      <c r="W88" s="606">
        <f>W91-W85</f>
        <v>30776</v>
      </c>
      <c r="X88" s="505">
        <f t="shared" si="106"/>
        <v>7</v>
      </c>
      <c r="Y88" s="606">
        <f>Y91-Y85</f>
        <v>8745</v>
      </c>
      <c r="Z88" s="606">
        <f>Z91-Z85</f>
        <v>11020</v>
      </c>
      <c r="AA88" s="505">
        <f t="shared" si="107"/>
        <v>26</v>
      </c>
      <c r="AB88" s="606">
        <f>AB91-AB85</f>
        <v>37497</v>
      </c>
      <c r="AC88" s="606">
        <f>AC91-AC85</f>
        <v>41796</v>
      </c>
      <c r="AD88" s="505">
        <f t="shared" si="109"/>
        <v>11.5</v>
      </c>
      <c r="AE88" s="606">
        <f>AE91-AE85</f>
        <v>11705</v>
      </c>
      <c r="AF88" s="606">
        <f>AF91-AF85</f>
        <v>10647</v>
      </c>
      <c r="AG88" s="505">
        <f t="shared" si="110"/>
        <v>-9</v>
      </c>
      <c r="AH88" s="606">
        <f>AH91-AH85</f>
        <v>49202</v>
      </c>
      <c r="AI88" s="606">
        <f>AI91-AI85</f>
        <v>52443</v>
      </c>
      <c r="AJ88" s="505">
        <f t="shared" si="112"/>
        <v>6.6</v>
      </c>
    </row>
    <row r="89" spans="1:36" ht="22.5" customHeight="1">
      <c r="A89" s="668"/>
      <c r="B89" s="754"/>
      <c r="C89" s="757"/>
      <c r="D89" s="667" t="s">
        <v>9</v>
      </c>
      <c r="E89" s="415">
        <f t="shared" ref="E89:G89" si="139">E88/E87*1000</f>
        <v>6617.4668028600618</v>
      </c>
      <c r="F89" s="202">
        <f t="shared" si="139"/>
        <v>8308.3683234059172</v>
      </c>
      <c r="G89" s="178">
        <f t="shared" si="139"/>
        <v>10834.771886559804</v>
      </c>
      <c r="H89" s="405">
        <f>H88/H87*1000</f>
        <v>7941.0490250415687</v>
      </c>
      <c r="I89" s="514">
        <f>I88/I87*1000</f>
        <v>9133.0841976815118</v>
      </c>
      <c r="J89" s="514">
        <f>J88/J87*1000</f>
        <v>9224.7983870967746</v>
      </c>
      <c r="K89" s="514">
        <f>K88/K87*1000</f>
        <v>8210.271317829458</v>
      </c>
      <c r="L89" s="506">
        <f t="shared" si="101"/>
        <v>-11</v>
      </c>
      <c r="M89" s="514">
        <f>M88/M87*1000</f>
        <v>10876.329787234043</v>
      </c>
      <c r="N89" s="514">
        <f>N88/N87*1000</f>
        <v>6549.3827160493829</v>
      </c>
      <c r="O89" s="506">
        <f t="shared" si="102"/>
        <v>-39.799999999999997</v>
      </c>
      <c r="P89" s="514">
        <f>P88/P87*1000</f>
        <v>9936.9266055045864</v>
      </c>
      <c r="Q89" s="514">
        <f>Q88/Q87*1000</f>
        <v>7237.7510040160641</v>
      </c>
      <c r="R89" s="506">
        <f t="shared" si="103"/>
        <v>-27.2</v>
      </c>
      <c r="S89" s="514">
        <f>S88/S87*1000</f>
        <v>7484.9279161205768</v>
      </c>
      <c r="T89" s="514">
        <f>T88/T87*1000</f>
        <v>10268.921095008052</v>
      </c>
      <c r="U89" s="506">
        <f t="shared" si="104"/>
        <v>37.200000000000003</v>
      </c>
      <c r="V89" s="514">
        <f>V88/V87*1000</f>
        <v>8792.6605504587151</v>
      </c>
      <c r="W89" s="514">
        <f t="shared" ref="W89" si="140">W88/W87*1000</f>
        <v>8246.5166130760972</v>
      </c>
      <c r="X89" s="506">
        <f t="shared" si="106"/>
        <v>-6.2</v>
      </c>
      <c r="Y89" s="514">
        <f>Y88/Y87*1000</f>
        <v>6752.8957528957526</v>
      </c>
      <c r="Z89" s="514">
        <f>Z88/Z87*1000</f>
        <v>6326.0619977037895</v>
      </c>
      <c r="AA89" s="506">
        <f t="shared" si="107"/>
        <v>-6.3</v>
      </c>
      <c r="AB89" s="514">
        <f>AB88/AB87*1000</f>
        <v>8214.0197152245346</v>
      </c>
      <c r="AC89" s="514">
        <f t="shared" ref="AC89" si="141">AC88/AC87*1000</f>
        <v>7635.3671903544027</v>
      </c>
      <c r="AD89" s="506">
        <f t="shared" si="109"/>
        <v>-7</v>
      </c>
      <c r="AE89" s="514">
        <f>AE88/AE87*1000</f>
        <v>9508.5296506904961</v>
      </c>
      <c r="AF89" s="514">
        <f>AF88/AF87*1000</f>
        <v>8524.4195356285036</v>
      </c>
      <c r="AG89" s="506">
        <f t="shared" si="110"/>
        <v>-10.3</v>
      </c>
      <c r="AH89" s="514">
        <f>AH88/AH87*1000</f>
        <v>8488.9579020013789</v>
      </c>
      <c r="AI89" s="514">
        <f t="shared" ref="AI89" si="142">AI88/AI87*1000</f>
        <v>7800.535475234271</v>
      </c>
      <c r="AJ89" s="506">
        <f t="shared" si="112"/>
        <v>-8.1</v>
      </c>
    </row>
    <row r="90" spans="1:36" ht="22.5" customHeight="1">
      <c r="A90" s="668"/>
      <c r="B90" s="779" t="s">
        <v>19</v>
      </c>
      <c r="C90" s="782"/>
      <c r="D90" s="12" t="s">
        <v>569</v>
      </c>
      <c r="E90" s="416">
        <v>23074</v>
      </c>
      <c r="F90" s="203">
        <v>16569</v>
      </c>
      <c r="G90" s="179">
        <v>12445</v>
      </c>
      <c r="H90" s="406">
        <v>21792</v>
      </c>
      <c r="I90" s="521">
        <v>14909</v>
      </c>
      <c r="J90" s="521">
        <v>1072</v>
      </c>
      <c r="K90" s="521">
        <v>1355</v>
      </c>
      <c r="L90" s="508">
        <f t="shared" si="101"/>
        <v>26.4</v>
      </c>
      <c r="M90" s="521">
        <f>P90-J90</f>
        <v>974</v>
      </c>
      <c r="N90" s="521">
        <f>Q90-K90</f>
        <v>1605</v>
      </c>
      <c r="O90" s="508">
        <f t="shared" si="102"/>
        <v>64.8</v>
      </c>
      <c r="P90" s="521">
        <v>2046</v>
      </c>
      <c r="Q90" s="521">
        <v>2960</v>
      </c>
      <c r="R90" s="508">
        <f t="shared" si="103"/>
        <v>44.7</v>
      </c>
      <c r="S90" s="521">
        <f>V90-P90</f>
        <v>1460</v>
      </c>
      <c r="T90" s="521">
        <f>W90-Q90</f>
        <v>1275</v>
      </c>
      <c r="U90" s="508">
        <f t="shared" si="104"/>
        <v>-12.7</v>
      </c>
      <c r="V90" s="521">
        <v>3506</v>
      </c>
      <c r="W90" s="521">
        <v>4235</v>
      </c>
      <c r="X90" s="508">
        <f t="shared" si="106"/>
        <v>20.8</v>
      </c>
      <c r="Y90" s="521">
        <f>AB90-V90</f>
        <v>1399</v>
      </c>
      <c r="Z90" s="521">
        <f>AC90-W90</f>
        <v>1966</v>
      </c>
      <c r="AA90" s="508">
        <f t="shared" si="107"/>
        <v>40.5</v>
      </c>
      <c r="AB90" s="521">
        <v>4905</v>
      </c>
      <c r="AC90" s="521">
        <v>6201</v>
      </c>
      <c r="AD90" s="508">
        <f t="shared" si="109"/>
        <v>26.4</v>
      </c>
      <c r="AE90" s="521">
        <f>AH90-AB90</f>
        <v>1260</v>
      </c>
      <c r="AF90" s="521">
        <f>AI90-AC90</f>
        <v>1482</v>
      </c>
      <c r="AG90" s="508">
        <f t="shared" si="110"/>
        <v>17.600000000000001</v>
      </c>
      <c r="AH90" s="521">
        <v>6165</v>
      </c>
      <c r="AI90" s="521">
        <v>7683</v>
      </c>
      <c r="AJ90" s="508">
        <f t="shared" si="112"/>
        <v>24.6</v>
      </c>
    </row>
    <row r="91" spans="1:36" ht="22.5" customHeight="1">
      <c r="A91" s="668"/>
      <c r="B91" s="780"/>
      <c r="C91" s="783"/>
      <c r="D91" s="664" t="s">
        <v>252</v>
      </c>
      <c r="E91" s="417">
        <v>182177</v>
      </c>
      <c r="F91" s="204">
        <v>150939</v>
      </c>
      <c r="G91" s="180">
        <v>142283</v>
      </c>
      <c r="H91" s="407">
        <v>186009</v>
      </c>
      <c r="I91" s="522">
        <v>145806</v>
      </c>
      <c r="J91" s="522">
        <v>10355</v>
      </c>
      <c r="K91" s="522">
        <v>14003</v>
      </c>
      <c r="L91" s="509">
        <f t="shared" si="101"/>
        <v>35.200000000000003</v>
      </c>
      <c r="M91" s="522">
        <f>P91-J91</f>
        <v>11118</v>
      </c>
      <c r="N91" s="522">
        <f>Q91-K91</f>
        <v>12268</v>
      </c>
      <c r="O91" s="509">
        <f t="shared" si="102"/>
        <v>10.3</v>
      </c>
      <c r="P91" s="522">
        <v>21473</v>
      </c>
      <c r="Q91" s="522">
        <v>26271</v>
      </c>
      <c r="R91" s="509">
        <f t="shared" si="103"/>
        <v>22.3</v>
      </c>
      <c r="S91" s="522">
        <f>V91-P91</f>
        <v>11842</v>
      </c>
      <c r="T91" s="522">
        <f>W91-Q91</f>
        <v>13402</v>
      </c>
      <c r="U91" s="509">
        <f t="shared" si="104"/>
        <v>13.2</v>
      </c>
      <c r="V91" s="522">
        <v>33315</v>
      </c>
      <c r="W91" s="522">
        <v>39673</v>
      </c>
      <c r="X91" s="509">
        <f t="shared" si="106"/>
        <v>19.100000000000001</v>
      </c>
      <c r="Y91" s="522">
        <f>AB91-V91</f>
        <v>8951</v>
      </c>
      <c r="Z91" s="522">
        <f>AC91-W91</f>
        <v>14761</v>
      </c>
      <c r="AA91" s="509">
        <f t="shared" si="107"/>
        <v>64.900000000000006</v>
      </c>
      <c r="AB91" s="522">
        <v>42266</v>
      </c>
      <c r="AC91" s="522">
        <v>54434</v>
      </c>
      <c r="AD91" s="509">
        <f t="shared" si="109"/>
        <v>28.8</v>
      </c>
      <c r="AE91" s="522">
        <f>AH91-AB91</f>
        <v>12063</v>
      </c>
      <c r="AF91" s="522">
        <f>AI91-AC91</f>
        <v>14671</v>
      </c>
      <c r="AG91" s="509">
        <f t="shared" si="110"/>
        <v>21.6</v>
      </c>
      <c r="AH91" s="522">
        <v>54329</v>
      </c>
      <c r="AI91" s="522">
        <v>69105</v>
      </c>
      <c r="AJ91" s="509">
        <f t="shared" si="112"/>
        <v>27.2</v>
      </c>
    </row>
    <row r="92" spans="1:36" ht="22.5" customHeight="1">
      <c r="A92" s="668"/>
      <c r="B92" s="781"/>
      <c r="C92" s="784"/>
      <c r="D92" s="670" t="s">
        <v>296</v>
      </c>
      <c r="E92" s="418">
        <f t="shared" ref="E92:G92" si="143">E91/E90*1000</f>
        <v>7895.336742654069</v>
      </c>
      <c r="F92" s="205">
        <f t="shared" si="143"/>
        <v>9109.7229766431283</v>
      </c>
      <c r="G92" s="181">
        <f t="shared" si="143"/>
        <v>11432.944957814383</v>
      </c>
      <c r="H92" s="408">
        <f>H91/H90*1000</f>
        <v>8535.6552863436118</v>
      </c>
      <c r="I92" s="515">
        <f>I91/I90*1000</f>
        <v>9779.7303642095376</v>
      </c>
      <c r="J92" s="515">
        <f>J91/J90*1000</f>
        <v>9659.5149253731342</v>
      </c>
      <c r="K92" s="515">
        <f>K91/K90*1000</f>
        <v>10334.317343173432</v>
      </c>
      <c r="L92" s="510">
        <f t="shared" si="101"/>
        <v>7</v>
      </c>
      <c r="M92" s="515">
        <f>M91/M90*1000</f>
        <v>11414.784394250513</v>
      </c>
      <c r="N92" s="515">
        <f>N91/N90*1000</f>
        <v>7643.6137071651092</v>
      </c>
      <c r="O92" s="510">
        <f t="shared" si="102"/>
        <v>-33</v>
      </c>
      <c r="P92" s="515">
        <f>P91/P90*1000</f>
        <v>10495.112414467252</v>
      </c>
      <c r="Q92" s="515">
        <f>Q91/Q90*1000</f>
        <v>8875.3378378378384</v>
      </c>
      <c r="R92" s="510">
        <f t="shared" si="103"/>
        <v>-15.4</v>
      </c>
      <c r="S92" s="515">
        <f>S91/S90*1000</f>
        <v>8110.9589041095887</v>
      </c>
      <c r="T92" s="515">
        <f>T91/T90*1000</f>
        <v>10511.372549019608</v>
      </c>
      <c r="U92" s="510">
        <f t="shared" si="104"/>
        <v>29.6</v>
      </c>
      <c r="V92" s="515">
        <f>V91/V90*1000</f>
        <v>9502.281802624073</v>
      </c>
      <c r="W92" s="515">
        <f t="shared" ref="W92" si="144">W91/W90*1000</f>
        <v>9367.8866587957491</v>
      </c>
      <c r="X92" s="510">
        <f t="shared" si="106"/>
        <v>-1.4</v>
      </c>
      <c r="Y92" s="515">
        <f>Y91/Y90*1000</f>
        <v>6398.1415296640462</v>
      </c>
      <c r="Z92" s="515">
        <f>Z91/Z90*1000</f>
        <v>7508.1383519837236</v>
      </c>
      <c r="AA92" s="510">
        <f t="shared" si="107"/>
        <v>17.3</v>
      </c>
      <c r="AB92" s="515">
        <f t="shared" ref="AB92:AC92" si="145">AB91/AB90*1000</f>
        <v>8616.9215086646291</v>
      </c>
      <c r="AC92" s="515">
        <f t="shared" si="145"/>
        <v>8778.2615707144014</v>
      </c>
      <c r="AD92" s="510">
        <f t="shared" si="109"/>
        <v>1.9</v>
      </c>
      <c r="AE92" s="515">
        <f>AE91/AE90*1000</f>
        <v>9573.8095238095248</v>
      </c>
      <c r="AF92" s="515">
        <f>AF91/AF90*1000</f>
        <v>9899.4601889338719</v>
      </c>
      <c r="AG92" s="510">
        <f t="shared" si="110"/>
        <v>3.4</v>
      </c>
      <c r="AH92" s="515">
        <f t="shared" ref="AH92:AI92" si="146">AH91/AH90*1000</f>
        <v>8812.4898621248994</v>
      </c>
      <c r="AI92" s="515">
        <f t="shared" si="146"/>
        <v>8994.5333853963293</v>
      </c>
      <c r="AJ92" s="510">
        <f t="shared" si="112"/>
        <v>2.1</v>
      </c>
    </row>
    <row r="93" spans="1:36" ht="22.5" customHeight="1">
      <c r="A93" s="778" t="s">
        <v>29</v>
      </c>
      <c r="B93" s="752" t="s">
        <v>26</v>
      </c>
      <c r="C93" s="755">
        <v>8001</v>
      </c>
      <c r="D93" s="694" t="s">
        <v>569</v>
      </c>
      <c r="E93" s="414">
        <v>1003</v>
      </c>
      <c r="F93" s="201">
        <v>754</v>
      </c>
      <c r="G93" s="177">
        <v>838</v>
      </c>
      <c r="H93" s="520">
        <v>623</v>
      </c>
      <c r="I93" s="607">
        <v>616</v>
      </c>
      <c r="J93" s="607">
        <v>12</v>
      </c>
      <c r="K93" s="607">
        <v>53</v>
      </c>
      <c r="L93" s="507">
        <f t="shared" si="101"/>
        <v>341.7</v>
      </c>
      <c r="M93" s="607">
        <f>P93-J93</f>
        <v>55</v>
      </c>
      <c r="N93" s="607">
        <f>Q93-K93</f>
        <v>39</v>
      </c>
      <c r="O93" s="507">
        <f t="shared" si="102"/>
        <v>-29.1</v>
      </c>
      <c r="P93" s="607">
        <v>67</v>
      </c>
      <c r="Q93" s="607">
        <v>92</v>
      </c>
      <c r="R93" s="507">
        <f t="shared" si="103"/>
        <v>37.299999999999997</v>
      </c>
      <c r="S93" s="607">
        <f>V93-P93</f>
        <v>4</v>
      </c>
      <c r="T93" s="607">
        <f>W93-Q93</f>
        <v>68</v>
      </c>
      <c r="U93" s="507">
        <f t="shared" si="104"/>
        <v>1600</v>
      </c>
      <c r="V93" s="607">
        <v>71</v>
      </c>
      <c r="W93" s="520">
        <v>160</v>
      </c>
      <c r="X93" s="507">
        <f t="shared" si="106"/>
        <v>125.4</v>
      </c>
      <c r="Y93" s="607">
        <f>AB93-V93</f>
        <v>130</v>
      </c>
      <c r="Z93" s="607">
        <f>AC93-W93</f>
        <v>78</v>
      </c>
      <c r="AA93" s="507">
        <f t="shared" si="107"/>
        <v>-40</v>
      </c>
      <c r="AB93" s="607">
        <v>201</v>
      </c>
      <c r="AC93" s="520">
        <v>238</v>
      </c>
      <c r="AD93" s="507">
        <f t="shared" si="109"/>
        <v>18.399999999999999</v>
      </c>
      <c r="AE93" s="607">
        <f>AH93-AB93</f>
        <v>39</v>
      </c>
      <c r="AF93" s="607">
        <f>AI93-AC93</f>
        <v>38</v>
      </c>
      <c r="AG93" s="507">
        <f t="shared" si="110"/>
        <v>-2.6</v>
      </c>
      <c r="AH93" s="607">
        <v>240</v>
      </c>
      <c r="AI93" s="520">
        <v>276</v>
      </c>
      <c r="AJ93" s="507">
        <f t="shared" si="112"/>
        <v>15</v>
      </c>
    </row>
    <row r="94" spans="1:36" ht="22.5" customHeight="1">
      <c r="A94" s="769"/>
      <c r="B94" s="753"/>
      <c r="C94" s="756"/>
      <c r="D94" s="665" t="s">
        <v>8</v>
      </c>
      <c r="E94" s="411">
        <v>19532</v>
      </c>
      <c r="F94" s="196">
        <v>15056</v>
      </c>
      <c r="G94" s="174">
        <v>16705</v>
      </c>
      <c r="H94" s="401">
        <v>11822</v>
      </c>
      <c r="I94" s="606">
        <v>11028</v>
      </c>
      <c r="J94" s="606">
        <v>263</v>
      </c>
      <c r="K94" s="606">
        <v>1443</v>
      </c>
      <c r="L94" s="505">
        <f t="shared" si="101"/>
        <v>448.7</v>
      </c>
      <c r="M94" s="606">
        <f>P94-J94</f>
        <v>1086</v>
      </c>
      <c r="N94" s="606">
        <f>Q94-K94</f>
        <v>1318</v>
      </c>
      <c r="O94" s="505">
        <f t="shared" si="102"/>
        <v>21.4</v>
      </c>
      <c r="P94" s="606">
        <v>1349</v>
      </c>
      <c r="Q94" s="606">
        <v>2761</v>
      </c>
      <c r="R94" s="505">
        <f t="shared" si="103"/>
        <v>104.7</v>
      </c>
      <c r="S94" s="606">
        <f>V94-P94</f>
        <v>203</v>
      </c>
      <c r="T94" s="606">
        <f>W94-Q94</f>
        <v>1683</v>
      </c>
      <c r="U94" s="505">
        <f t="shared" si="104"/>
        <v>729.1</v>
      </c>
      <c r="V94" s="606">
        <v>1552</v>
      </c>
      <c r="W94" s="606">
        <v>4444</v>
      </c>
      <c r="X94" s="505">
        <f t="shared" si="106"/>
        <v>186.3</v>
      </c>
      <c r="Y94" s="606">
        <f>AB94-V94</f>
        <v>2151</v>
      </c>
      <c r="Z94" s="606">
        <f>AC94-W94</f>
        <v>2646</v>
      </c>
      <c r="AA94" s="505">
        <f t="shared" si="107"/>
        <v>23</v>
      </c>
      <c r="AB94" s="606">
        <v>3703</v>
      </c>
      <c r="AC94" s="606">
        <v>7090</v>
      </c>
      <c r="AD94" s="505">
        <f t="shared" si="109"/>
        <v>91.5</v>
      </c>
      <c r="AE94" s="606">
        <f>AH94-AB94</f>
        <v>610</v>
      </c>
      <c r="AF94" s="606">
        <f>AI94-AC94</f>
        <v>1004</v>
      </c>
      <c r="AG94" s="505">
        <f t="shared" si="110"/>
        <v>64.599999999999994</v>
      </c>
      <c r="AH94" s="606">
        <v>4313</v>
      </c>
      <c r="AI94" s="606">
        <v>8094</v>
      </c>
      <c r="AJ94" s="505">
        <f t="shared" si="112"/>
        <v>87.7</v>
      </c>
    </row>
    <row r="95" spans="1:36" ht="22.5" customHeight="1">
      <c r="A95" s="668"/>
      <c r="B95" s="754"/>
      <c r="C95" s="757"/>
      <c r="D95" s="667" t="s">
        <v>9</v>
      </c>
      <c r="E95" s="415">
        <f t="shared" ref="E95:G95" si="147">E94/E93*1000</f>
        <v>19473.579262213359</v>
      </c>
      <c r="F95" s="202">
        <f t="shared" si="147"/>
        <v>19968.16976127321</v>
      </c>
      <c r="G95" s="178">
        <f t="shared" si="147"/>
        <v>19934.367541766111</v>
      </c>
      <c r="H95" s="402">
        <f>H94/H93*1000</f>
        <v>18975.922953451041</v>
      </c>
      <c r="I95" s="514">
        <f>I94/I93*1000</f>
        <v>17902.597402597399</v>
      </c>
      <c r="J95" s="514">
        <f>J94/J93*1000</f>
        <v>21916.666666666668</v>
      </c>
      <c r="K95" s="514">
        <f>K94/K93*1000</f>
        <v>27226.415094339623</v>
      </c>
      <c r="L95" s="506">
        <f t="shared" si="101"/>
        <v>24.2</v>
      </c>
      <c r="M95" s="514">
        <f>M94/M93*1000</f>
        <v>19745.454545454548</v>
      </c>
      <c r="N95" s="606">
        <f>N94/N93*1000</f>
        <v>33794.871794871797</v>
      </c>
      <c r="O95" s="506">
        <f t="shared" si="102"/>
        <v>71.2</v>
      </c>
      <c r="P95" s="514">
        <f>P94/P93*1000</f>
        <v>20134.328358208953</v>
      </c>
      <c r="Q95" s="514">
        <f>Q94/Q93*1000</f>
        <v>30010.869565217392</v>
      </c>
      <c r="R95" s="506">
        <f t="shared" si="103"/>
        <v>49.1</v>
      </c>
      <c r="S95" s="514">
        <f>S94/S93*1000</f>
        <v>50750</v>
      </c>
      <c r="T95" s="606">
        <f>T94/T93*1000</f>
        <v>24750</v>
      </c>
      <c r="U95" s="506">
        <f t="shared" si="104"/>
        <v>-51.2</v>
      </c>
      <c r="V95" s="514">
        <f>V94/V93*1000</f>
        <v>21859.154929577464</v>
      </c>
      <c r="W95" s="514">
        <f t="shared" ref="W95" si="148">W94/W93*1000</f>
        <v>27775</v>
      </c>
      <c r="X95" s="506">
        <f t="shared" si="106"/>
        <v>27.1</v>
      </c>
      <c r="Y95" s="514">
        <f>Y94/Y93*1000</f>
        <v>16546.153846153848</v>
      </c>
      <c r="Z95" s="606">
        <f>Z94/Z93*1000</f>
        <v>33923.076923076922</v>
      </c>
      <c r="AA95" s="506">
        <f t="shared" si="107"/>
        <v>105</v>
      </c>
      <c r="AB95" s="514">
        <f>AB94/AB93*1000</f>
        <v>18422.885572139305</v>
      </c>
      <c r="AC95" s="514">
        <f t="shared" ref="AC95" si="149">AC94/AC93*1000</f>
        <v>29789.915966386554</v>
      </c>
      <c r="AD95" s="506">
        <f t="shared" si="109"/>
        <v>61.7</v>
      </c>
      <c r="AE95" s="514">
        <f>AE94/AE93*1000</f>
        <v>15641.025641025641</v>
      </c>
      <c r="AF95" s="606">
        <f>AF94/AF93*1000</f>
        <v>26421.05263157895</v>
      </c>
      <c r="AG95" s="506">
        <f t="shared" si="110"/>
        <v>68.900000000000006</v>
      </c>
      <c r="AH95" s="514">
        <f>AH94/AH93*1000</f>
        <v>17970.833333333336</v>
      </c>
      <c r="AI95" s="514">
        <f t="shared" ref="AI95" si="150">AI94/AI93*1000</f>
        <v>29326.08695652174</v>
      </c>
      <c r="AJ95" s="506">
        <f t="shared" si="112"/>
        <v>63.2</v>
      </c>
    </row>
    <row r="96" spans="1:36" ht="22.5" customHeight="1">
      <c r="A96" s="668"/>
      <c r="B96" s="752" t="s">
        <v>18</v>
      </c>
      <c r="C96" s="755"/>
      <c r="D96" s="694" t="s">
        <v>569</v>
      </c>
      <c r="E96" s="414">
        <f t="shared" ref="E96:H97" si="151">E99-E93</f>
        <v>1193</v>
      </c>
      <c r="F96" s="201">
        <f t="shared" si="151"/>
        <v>1153</v>
      </c>
      <c r="G96" s="177">
        <f t="shared" si="151"/>
        <v>1201</v>
      </c>
      <c r="H96" s="520">
        <f t="shared" si="151"/>
        <v>1461</v>
      </c>
      <c r="I96" s="607">
        <f>I99-I93</f>
        <v>1365</v>
      </c>
      <c r="J96" s="607">
        <f t="shared" ref="J96:K96" si="152">J99-J93</f>
        <v>81</v>
      </c>
      <c r="K96" s="607">
        <f t="shared" si="152"/>
        <v>94</v>
      </c>
      <c r="L96" s="507">
        <f t="shared" si="101"/>
        <v>16</v>
      </c>
      <c r="M96" s="607">
        <f>M99-M93</f>
        <v>94</v>
      </c>
      <c r="N96" s="607">
        <f>N99-N93</f>
        <v>121</v>
      </c>
      <c r="O96" s="507">
        <f t="shared" si="102"/>
        <v>28.7</v>
      </c>
      <c r="P96" s="607">
        <f>P99-P93</f>
        <v>175</v>
      </c>
      <c r="Q96" s="607">
        <f>Q99-Q93</f>
        <v>215</v>
      </c>
      <c r="R96" s="507">
        <f t="shared" si="103"/>
        <v>22.9</v>
      </c>
      <c r="S96" s="607">
        <f>S99-S93</f>
        <v>147</v>
      </c>
      <c r="T96" s="607">
        <f>T99-T93</f>
        <v>145</v>
      </c>
      <c r="U96" s="507">
        <f t="shared" si="104"/>
        <v>-1.4</v>
      </c>
      <c r="V96" s="607">
        <f>V99-V93</f>
        <v>322</v>
      </c>
      <c r="W96" s="607">
        <f>W99-W93</f>
        <v>360</v>
      </c>
      <c r="X96" s="507">
        <f t="shared" si="106"/>
        <v>11.8</v>
      </c>
      <c r="Y96" s="607">
        <f>Y99-Y93</f>
        <v>76</v>
      </c>
      <c r="Z96" s="607">
        <f>Z99-Z93</f>
        <v>114</v>
      </c>
      <c r="AA96" s="507">
        <f t="shared" si="107"/>
        <v>50</v>
      </c>
      <c r="AB96" s="607">
        <f>AB99-AB93</f>
        <v>398</v>
      </c>
      <c r="AC96" s="607">
        <f>AC99-AC93</f>
        <v>474</v>
      </c>
      <c r="AD96" s="507">
        <f t="shared" si="109"/>
        <v>19.100000000000001</v>
      </c>
      <c r="AE96" s="607">
        <f>AE99-AE93</f>
        <v>59</v>
      </c>
      <c r="AF96" s="607">
        <f>AF99-AF93</f>
        <v>134</v>
      </c>
      <c r="AG96" s="507">
        <f t="shared" si="110"/>
        <v>127.1</v>
      </c>
      <c r="AH96" s="607">
        <f>AH99-AH93</f>
        <v>457</v>
      </c>
      <c r="AI96" s="607">
        <f>AI99-AI93</f>
        <v>608</v>
      </c>
      <c r="AJ96" s="507">
        <f t="shared" si="112"/>
        <v>33</v>
      </c>
    </row>
    <row r="97" spans="1:36" ht="22.5" customHeight="1">
      <c r="A97" s="668"/>
      <c r="B97" s="753"/>
      <c r="C97" s="756"/>
      <c r="D97" s="665" t="s">
        <v>8</v>
      </c>
      <c r="E97" s="411">
        <f t="shared" si="151"/>
        <v>26240</v>
      </c>
      <c r="F97" s="196">
        <f t="shared" si="151"/>
        <v>29772</v>
      </c>
      <c r="G97" s="174">
        <f t="shared" si="151"/>
        <v>32533</v>
      </c>
      <c r="H97" s="401">
        <f t="shared" si="151"/>
        <v>31025</v>
      </c>
      <c r="I97" s="606">
        <f>I100-I94</f>
        <v>37577</v>
      </c>
      <c r="J97" s="606">
        <f t="shared" ref="J97:K97" si="153">J100-J94</f>
        <v>2422</v>
      </c>
      <c r="K97" s="606">
        <f t="shared" si="153"/>
        <v>2918</v>
      </c>
      <c r="L97" s="505">
        <f t="shared" si="101"/>
        <v>20.5</v>
      </c>
      <c r="M97" s="606">
        <f>M100-M94</f>
        <v>3375</v>
      </c>
      <c r="N97" s="606">
        <f>N100-N94</f>
        <v>3288</v>
      </c>
      <c r="O97" s="505">
        <f t="shared" si="102"/>
        <v>-2.6</v>
      </c>
      <c r="P97" s="606">
        <f>P100-P94</f>
        <v>5797</v>
      </c>
      <c r="Q97" s="606">
        <f>Q100-Q94</f>
        <v>6206</v>
      </c>
      <c r="R97" s="505">
        <f t="shared" si="103"/>
        <v>7.1</v>
      </c>
      <c r="S97" s="606">
        <f>S100-S94</f>
        <v>2642</v>
      </c>
      <c r="T97" s="606">
        <f>T100-T94</f>
        <v>3615</v>
      </c>
      <c r="U97" s="505">
        <f t="shared" si="104"/>
        <v>36.799999999999997</v>
      </c>
      <c r="V97" s="606">
        <f>V100-V94</f>
        <v>8439</v>
      </c>
      <c r="W97" s="606">
        <f>W100-W94</f>
        <v>9821</v>
      </c>
      <c r="X97" s="505">
        <f t="shared" si="106"/>
        <v>16.399999999999999</v>
      </c>
      <c r="Y97" s="606">
        <f>Y100-Y94</f>
        <v>2089</v>
      </c>
      <c r="Z97" s="606">
        <f>Z100-Z94</f>
        <v>4147</v>
      </c>
      <c r="AA97" s="505">
        <f t="shared" si="107"/>
        <v>98.5</v>
      </c>
      <c r="AB97" s="606">
        <f>AB100-AB94</f>
        <v>10528</v>
      </c>
      <c r="AC97" s="606">
        <f>AC100-AC94</f>
        <v>13968</v>
      </c>
      <c r="AD97" s="505">
        <f t="shared" si="109"/>
        <v>32.700000000000003</v>
      </c>
      <c r="AE97" s="606">
        <f>AE100-AE94</f>
        <v>1994</v>
      </c>
      <c r="AF97" s="606">
        <f>AF100-AF94</f>
        <v>3620</v>
      </c>
      <c r="AG97" s="505">
        <f t="shared" si="110"/>
        <v>81.5</v>
      </c>
      <c r="AH97" s="606">
        <f>AH100-AH94</f>
        <v>12522</v>
      </c>
      <c r="AI97" s="606">
        <f>AI100-AI94</f>
        <v>17588</v>
      </c>
      <c r="AJ97" s="505">
        <f t="shared" si="112"/>
        <v>40.5</v>
      </c>
    </row>
    <row r="98" spans="1:36" ht="22.5" customHeight="1">
      <c r="A98" s="668"/>
      <c r="B98" s="754"/>
      <c r="C98" s="757"/>
      <c r="D98" s="667" t="s">
        <v>9</v>
      </c>
      <c r="E98" s="415">
        <f t="shared" ref="E98:G98" si="154">E97/E96*1000</f>
        <v>21994.970662196145</v>
      </c>
      <c r="F98" s="202">
        <f t="shared" si="154"/>
        <v>25821.335646140506</v>
      </c>
      <c r="G98" s="178">
        <f t="shared" si="154"/>
        <v>27088.259783513739</v>
      </c>
      <c r="H98" s="405">
        <f>H97/H96*1000</f>
        <v>21235.455167693359</v>
      </c>
      <c r="I98" s="514">
        <f>I97/I96*1000</f>
        <v>27528.93772893773</v>
      </c>
      <c r="J98" s="514">
        <f>J97/J96*1000</f>
        <v>29901.234567901232</v>
      </c>
      <c r="K98" s="514">
        <f>K97/K96*1000</f>
        <v>31042.553191489362</v>
      </c>
      <c r="L98" s="506">
        <f t="shared" si="101"/>
        <v>3.8</v>
      </c>
      <c r="M98" s="514">
        <f>M97/M96*1000</f>
        <v>35904.255319148935</v>
      </c>
      <c r="N98" s="514">
        <f>N97/N96*1000</f>
        <v>27173.553719008265</v>
      </c>
      <c r="O98" s="506">
        <f t="shared" si="102"/>
        <v>-24.3</v>
      </c>
      <c r="P98" s="514">
        <f>P97/P96*1000</f>
        <v>33125.71428571429</v>
      </c>
      <c r="Q98" s="514">
        <f>Q97/Q96*1000</f>
        <v>28865.116279069767</v>
      </c>
      <c r="R98" s="506">
        <f t="shared" si="103"/>
        <v>-12.9</v>
      </c>
      <c r="S98" s="514">
        <f>S97/S96*1000</f>
        <v>17972.789115646257</v>
      </c>
      <c r="T98" s="514">
        <f>T97/T96*1000</f>
        <v>24931.03448275862</v>
      </c>
      <c r="U98" s="506">
        <f t="shared" si="104"/>
        <v>38.700000000000003</v>
      </c>
      <c r="V98" s="514">
        <f>V97/V96*1000</f>
        <v>26208.074534161489</v>
      </c>
      <c r="W98" s="514">
        <f t="shared" ref="W98" si="155">W97/W96*1000</f>
        <v>27280.555555555555</v>
      </c>
      <c r="X98" s="506">
        <f t="shared" si="106"/>
        <v>4.0999999999999996</v>
      </c>
      <c r="Y98" s="514">
        <f>Y97/Y96*1000</f>
        <v>27486.842105263157</v>
      </c>
      <c r="Z98" s="514">
        <f>Z97/Z96*1000</f>
        <v>36377.192982456138</v>
      </c>
      <c r="AA98" s="506">
        <f t="shared" si="107"/>
        <v>32.299999999999997</v>
      </c>
      <c r="AB98" s="514">
        <f>AB97/AB96*1000</f>
        <v>26452.261306532662</v>
      </c>
      <c r="AC98" s="514">
        <f t="shared" ref="AC98" si="156">AC97/AC96*1000</f>
        <v>29468.354430379746</v>
      </c>
      <c r="AD98" s="506">
        <f t="shared" si="109"/>
        <v>11.4</v>
      </c>
      <c r="AE98" s="514">
        <f>AE97/AE96*1000</f>
        <v>33796.61016949152</v>
      </c>
      <c r="AF98" s="514">
        <f>AF97/AF96*1000</f>
        <v>27014.925373134327</v>
      </c>
      <c r="AG98" s="506">
        <f t="shared" si="110"/>
        <v>-20.100000000000001</v>
      </c>
      <c r="AH98" s="514">
        <f>AH97/AH96*1000</f>
        <v>27400.43763676149</v>
      </c>
      <c r="AI98" s="514">
        <f t="shared" ref="AI98" si="157">AI97/AI96*1000</f>
        <v>28927.63157894737</v>
      </c>
      <c r="AJ98" s="506">
        <f t="shared" si="112"/>
        <v>5.6</v>
      </c>
    </row>
    <row r="99" spans="1:36" ht="22.5" customHeight="1">
      <c r="A99" s="668"/>
      <c r="B99" s="779" t="s">
        <v>19</v>
      </c>
      <c r="C99" s="782"/>
      <c r="D99" s="12" t="s">
        <v>569</v>
      </c>
      <c r="E99" s="416">
        <v>2196</v>
      </c>
      <c r="F99" s="203">
        <v>1907</v>
      </c>
      <c r="G99" s="179">
        <v>2039</v>
      </c>
      <c r="H99" s="406">
        <v>2084</v>
      </c>
      <c r="I99" s="521">
        <v>1981</v>
      </c>
      <c r="J99" s="521">
        <v>93</v>
      </c>
      <c r="K99" s="521">
        <v>147</v>
      </c>
      <c r="L99" s="508">
        <f t="shared" si="101"/>
        <v>58.1</v>
      </c>
      <c r="M99" s="521">
        <f>P99-J99</f>
        <v>149</v>
      </c>
      <c r="N99" s="521">
        <f>Q99-K99</f>
        <v>160</v>
      </c>
      <c r="O99" s="508">
        <f t="shared" si="102"/>
        <v>7.4</v>
      </c>
      <c r="P99" s="521">
        <v>242</v>
      </c>
      <c r="Q99" s="521">
        <v>307</v>
      </c>
      <c r="R99" s="508">
        <f t="shared" si="103"/>
        <v>26.9</v>
      </c>
      <c r="S99" s="521">
        <f>V99-P99</f>
        <v>151</v>
      </c>
      <c r="T99" s="521">
        <f>W99-Q99</f>
        <v>213</v>
      </c>
      <c r="U99" s="508">
        <f t="shared" si="104"/>
        <v>41.1</v>
      </c>
      <c r="V99" s="521">
        <v>393</v>
      </c>
      <c r="W99" s="521">
        <v>520</v>
      </c>
      <c r="X99" s="508">
        <f t="shared" si="106"/>
        <v>32.299999999999997</v>
      </c>
      <c r="Y99" s="521">
        <f>AB99-V99</f>
        <v>206</v>
      </c>
      <c r="Z99" s="521">
        <f>AC99-W99</f>
        <v>192</v>
      </c>
      <c r="AA99" s="508">
        <f t="shared" si="107"/>
        <v>-6.8</v>
      </c>
      <c r="AB99" s="521">
        <v>599</v>
      </c>
      <c r="AC99" s="521">
        <v>712</v>
      </c>
      <c r="AD99" s="508">
        <f t="shared" si="109"/>
        <v>18.899999999999999</v>
      </c>
      <c r="AE99" s="521">
        <f>AH99-AB99</f>
        <v>98</v>
      </c>
      <c r="AF99" s="521">
        <f>AI99-AC99</f>
        <v>172</v>
      </c>
      <c r="AG99" s="508">
        <f t="shared" si="110"/>
        <v>75.5</v>
      </c>
      <c r="AH99" s="521">
        <v>697</v>
      </c>
      <c r="AI99" s="521">
        <v>884</v>
      </c>
      <c r="AJ99" s="508">
        <f t="shared" si="112"/>
        <v>26.8</v>
      </c>
    </row>
    <row r="100" spans="1:36" ht="22.5" customHeight="1">
      <c r="A100" s="668"/>
      <c r="B100" s="780"/>
      <c r="C100" s="783"/>
      <c r="D100" s="664" t="s">
        <v>252</v>
      </c>
      <c r="E100" s="417">
        <v>45772</v>
      </c>
      <c r="F100" s="204">
        <v>44828</v>
      </c>
      <c r="G100" s="180">
        <v>49238</v>
      </c>
      <c r="H100" s="407">
        <v>42847</v>
      </c>
      <c r="I100" s="522">
        <v>48605</v>
      </c>
      <c r="J100" s="522">
        <v>2685</v>
      </c>
      <c r="K100" s="522">
        <v>4361</v>
      </c>
      <c r="L100" s="509">
        <f t="shared" si="101"/>
        <v>62.4</v>
      </c>
      <c r="M100" s="522">
        <f>P100-J100</f>
        <v>4461</v>
      </c>
      <c r="N100" s="522">
        <f>Q100-K100</f>
        <v>4606</v>
      </c>
      <c r="O100" s="509">
        <f t="shared" si="102"/>
        <v>3.3</v>
      </c>
      <c r="P100" s="522">
        <v>7146</v>
      </c>
      <c r="Q100" s="522">
        <v>8967</v>
      </c>
      <c r="R100" s="509">
        <f t="shared" si="103"/>
        <v>25.5</v>
      </c>
      <c r="S100" s="522">
        <f>V100-P100</f>
        <v>2845</v>
      </c>
      <c r="T100" s="522">
        <f>W100-Q100</f>
        <v>5298</v>
      </c>
      <c r="U100" s="509">
        <f t="shared" si="104"/>
        <v>86.2</v>
      </c>
      <c r="V100" s="522">
        <v>9991</v>
      </c>
      <c r="W100" s="522">
        <v>14265</v>
      </c>
      <c r="X100" s="509">
        <f t="shared" si="106"/>
        <v>42.8</v>
      </c>
      <c r="Y100" s="522">
        <f>AB100-V100</f>
        <v>4240</v>
      </c>
      <c r="Z100" s="522">
        <f>AC100-W100</f>
        <v>6793</v>
      </c>
      <c r="AA100" s="509">
        <f t="shared" si="107"/>
        <v>60.2</v>
      </c>
      <c r="AB100" s="522">
        <v>14231</v>
      </c>
      <c r="AC100" s="522">
        <v>21058</v>
      </c>
      <c r="AD100" s="509">
        <f t="shared" si="109"/>
        <v>48</v>
      </c>
      <c r="AE100" s="522">
        <f>AH100-AB100</f>
        <v>2604</v>
      </c>
      <c r="AF100" s="522">
        <f>AI100-AC100</f>
        <v>4624</v>
      </c>
      <c r="AG100" s="509">
        <f t="shared" si="110"/>
        <v>77.599999999999994</v>
      </c>
      <c r="AH100" s="522">
        <v>16835</v>
      </c>
      <c r="AI100" s="522">
        <v>25682</v>
      </c>
      <c r="AJ100" s="509">
        <f t="shared" si="112"/>
        <v>52.6</v>
      </c>
    </row>
    <row r="101" spans="1:36" ht="22.5" customHeight="1">
      <c r="A101" s="671"/>
      <c r="B101" s="781"/>
      <c r="C101" s="784"/>
      <c r="D101" s="670" t="s">
        <v>296</v>
      </c>
      <c r="E101" s="418">
        <f t="shared" ref="E101:G101" si="158">E100/E99*1000</f>
        <v>20843.35154826958</v>
      </c>
      <c r="F101" s="205">
        <f t="shared" si="158"/>
        <v>23507.079181961195</v>
      </c>
      <c r="G101" s="181">
        <f t="shared" si="158"/>
        <v>24148.11181951937</v>
      </c>
      <c r="H101" s="408">
        <f>H100/H99*1000</f>
        <v>20559.980806142037</v>
      </c>
      <c r="I101" s="515">
        <f>I100/I99*1000</f>
        <v>24535.588086824839</v>
      </c>
      <c r="J101" s="515">
        <f>J100/J99*1000</f>
        <v>28870.967741935485</v>
      </c>
      <c r="K101" s="515">
        <f>K100/K99*1000</f>
        <v>29666.666666666668</v>
      </c>
      <c r="L101" s="510">
        <f t="shared" si="101"/>
        <v>2.8</v>
      </c>
      <c r="M101" s="515">
        <f>M100/M99*1000</f>
        <v>29939.59731543624</v>
      </c>
      <c r="N101" s="515">
        <f>N100/N99*1000</f>
        <v>28787.5</v>
      </c>
      <c r="O101" s="510">
        <f t="shared" si="102"/>
        <v>-3.8</v>
      </c>
      <c r="P101" s="515">
        <f>P100/P99*1000</f>
        <v>29528.92561983471</v>
      </c>
      <c r="Q101" s="515">
        <f>Q100/Q99*1000</f>
        <v>29208.469055374593</v>
      </c>
      <c r="R101" s="510">
        <f t="shared" si="103"/>
        <v>-1.1000000000000001</v>
      </c>
      <c r="S101" s="515">
        <f>S100/S99*1000</f>
        <v>18841.059602649009</v>
      </c>
      <c r="T101" s="515">
        <f>T100/T99*1000</f>
        <v>24873.239436619719</v>
      </c>
      <c r="U101" s="510">
        <f t="shared" si="104"/>
        <v>32</v>
      </c>
      <c r="V101" s="515">
        <f>V100/V99*1000</f>
        <v>25422.391857506362</v>
      </c>
      <c r="W101" s="515">
        <f t="shared" ref="W101" si="159">W100/W99*1000</f>
        <v>27432.692307692305</v>
      </c>
      <c r="X101" s="510">
        <f t="shared" si="106"/>
        <v>7.9</v>
      </c>
      <c r="Y101" s="515">
        <f>Y100/Y99*1000</f>
        <v>20582.524271844661</v>
      </c>
      <c r="Z101" s="515">
        <f>Z100/Z99*1000</f>
        <v>35380.208333333336</v>
      </c>
      <c r="AA101" s="510">
        <f t="shared" si="107"/>
        <v>71.900000000000006</v>
      </c>
      <c r="AB101" s="515">
        <f t="shared" ref="AB101:AC101" si="160">AB100/AB99*1000</f>
        <v>23757.929883138564</v>
      </c>
      <c r="AC101" s="515">
        <f t="shared" si="160"/>
        <v>29575.842696629214</v>
      </c>
      <c r="AD101" s="510">
        <f t="shared" si="109"/>
        <v>24.5</v>
      </c>
      <c r="AE101" s="515">
        <f>AE100/AE99*1000</f>
        <v>26571.428571428572</v>
      </c>
      <c r="AF101" s="515">
        <f>AF100/AF99*1000</f>
        <v>26883.720930232561</v>
      </c>
      <c r="AG101" s="510">
        <f t="shared" si="110"/>
        <v>1.2</v>
      </c>
      <c r="AH101" s="515">
        <f t="shared" ref="AH101:AI101" si="161">AH100/AH99*1000</f>
        <v>24153.515064562409</v>
      </c>
      <c r="AI101" s="515">
        <f t="shared" si="161"/>
        <v>29052.036199095026</v>
      </c>
      <c r="AJ101" s="510">
        <f t="shared" si="112"/>
        <v>20.3</v>
      </c>
    </row>
    <row r="102" spans="1:36" ht="22.5" customHeight="1">
      <c r="A102" s="778" t="s">
        <v>30</v>
      </c>
      <c r="B102" s="752"/>
      <c r="C102" s="755">
        <v>81</v>
      </c>
      <c r="D102" s="694" t="s">
        <v>569</v>
      </c>
      <c r="E102" s="414">
        <v>96278</v>
      </c>
      <c r="F102" s="201">
        <v>40395</v>
      </c>
      <c r="G102" s="177">
        <v>47078</v>
      </c>
      <c r="H102" s="520">
        <v>82485</v>
      </c>
      <c r="I102" s="607">
        <v>22915</v>
      </c>
      <c r="J102" s="607">
        <v>1484</v>
      </c>
      <c r="K102" s="607">
        <v>960</v>
      </c>
      <c r="L102" s="507">
        <f t="shared" si="101"/>
        <v>-35.299999999999997</v>
      </c>
      <c r="M102" s="607">
        <f>P102-J102</f>
        <v>1660</v>
      </c>
      <c r="N102" s="607">
        <f>Q102-K102</f>
        <v>1377</v>
      </c>
      <c r="O102" s="507">
        <f t="shared" si="102"/>
        <v>-17</v>
      </c>
      <c r="P102" s="607">
        <v>3144</v>
      </c>
      <c r="Q102" s="607">
        <v>2337</v>
      </c>
      <c r="R102" s="507">
        <f t="shared" si="103"/>
        <v>-25.7</v>
      </c>
      <c r="S102" s="607">
        <f>V102-P102</f>
        <v>2326</v>
      </c>
      <c r="T102" s="607">
        <f>W102-Q102</f>
        <v>1513</v>
      </c>
      <c r="U102" s="507">
        <f t="shared" si="104"/>
        <v>-35</v>
      </c>
      <c r="V102" s="607">
        <v>5470</v>
      </c>
      <c r="W102" s="607">
        <v>3850</v>
      </c>
      <c r="X102" s="507">
        <f t="shared" si="106"/>
        <v>-29.6</v>
      </c>
      <c r="Y102" s="607">
        <f>AB102-V102</f>
        <v>3254</v>
      </c>
      <c r="Z102" s="607">
        <f>AC102-W102</f>
        <v>1613</v>
      </c>
      <c r="AA102" s="507">
        <f t="shared" si="107"/>
        <v>-50.4</v>
      </c>
      <c r="AB102" s="607">
        <v>8724</v>
      </c>
      <c r="AC102" s="607">
        <v>5463</v>
      </c>
      <c r="AD102" s="507">
        <f t="shared" si="109"/>
        <v>-37.4</v>
      </c>
      <c r="AE102" s="607">
        <f>AH102-AB102</f>
        <v>1464</v>
      </c>
      <c r="AF102" s="607">
        <f>AI102-AC102</f>
        <v>1377</v>
      </c>
      <c r="AG102" s="507">
        <f t="shared" si="110"/>
        <v>-5.9</v>
      </c>
      <c r="AH102" s="607">
        <v>10188</v>
      </c>
      <c r="AI102" s="607">
        <v>6840</v>
      </c>
      <c r="AJ102" s="507">
        <f t="shared" si="112"/>
        <v>-32.9</v>
      </c>
    </row>
    <row r="103" spans="1:36" ht="22.5" customHeight="1">
      <c r="A103" s="769"/>
      <c r="B103" s="753"/>
      <c r="C103" s="756"/>
      <c r="D103" s="665" t="s">
        <v>31</v>
      </c>
      <c r="E103" s="411">
        <v>275446</v>
      </c>
      <c r="F103" s="196">
        <v>317314</v>
      </c>
      <c r="G103" s="174">
        <v>366602</v>
      </c>
      <c r="H103" s="401">
        <v>272204</v>
      </c>
      <c r="I103" s="606">
        <v>232849</v>
      </c>
      <c r="J103" s="606">
        <v>19506</v>
      </c>
      <c r="K103" s="606">
        <v>19370</v>
      </c>
      <c r="L103" s="505">
        <f t="shared" si="101"/>
        <v>-0.7</v>
      </c>
      <c r="M103" s="606">
        <f>P103-J103</f>
        <v>19772</v>
      </c>
      <c r="N103" s="606">
        <f>Q103-K103</f>
        <v>16207</v>
      </c>
      <c r="O103" s="505">
        <f t="shared" si="102"/>
        <v>-18</v>
      </c>
      <c r="P103" s="606">
        <v>39278</v>
      </c>
      <c r="Q103" s="606">
        <v>35577</v>
      </c>
      <c r="R103" s="505">
        <f t="shared" si="103"/>
        <v>-9.4</v>
      </c>
      <c r="S103" s="606">
        <f>V103-P103</f>
        <v>21654</v>
      </c>
      <c r="T103" s="606">
        <f>W103-Q103</f>
        <v>24607</v>
      </c>
      <c r="U103" s="505">
        <f t="shared" si="104"/>
        <v>13.6</v>
      </c>
      <c r="V103" s="606">
        <v>60932</v>
      </c>
      <c r="W103" s="606">
        <v>60184</v>
      </c>
      <c r="X103" s="505">
        <f t="shared" si="106"/>
        <v>-1.2</v>
      </c>
      <c r="Y103" s="606">
        <f>AB103-V103</f>
        <v>22589</v>
      </c>
      <c r="Z103" s="606">
        <f>AC103-W103</f>
        <v>22158</v>
      </c>
      <c r="AA103" s="505">
        <f t="shared" si="107"/>
        <v>-1.9</v>
      </c>
      <c r="AB103" s="606">
        <v>83521</v>
      </c>
      <c r="AC103" s="606">
        <v>82342</v>
      </c>
      <c r="AD103" s="505">
        <f t="shared" si="109"/>
        <v>-1.4</v>
      </c>
      <c r="AE103" s="606">
        <f>AH103-AB103</f>
        <v>15871</v>
      </c>
      <c r="AF103" s="606">
        <f>AI103-AC103</f>
        <v>24307</v>
      </c>
      <c r="AG103" s="505">
        <f t="shared" si="110"/>
        <v>53.2</v>
      </c>
      <c r="AH103" s="606">
        <v>99392</v>
      </c>
      <c r="AI103" s="606">
        <v>106649</v>
      </c>
      <c r="AJ103" s="505">
        <f t="shared" si="112"/>
        <v>7.3</v>
      </c>
    </row>
    <row r="104" spans="1:36" ht="22.5" customHeight="1">
      <c r="A104" s="794"/>
      <c r="B104" s="754"/>
      <c r="C104" s="757"/>
      <c r="D104" s="667" t="s">
        <v>9</v>
      </c>
      <c r="E104" s="415">
        <f t="shared" ref="E104:G104" si="162">E103/E102*1000</f>
        <v>2860.944348657014</v>
      </c>
      <c r="F104" s="202">
        <f t="shared" si="162"/>
        <v>7855.2791187028097</v>
      </c>
      <c r="G104" s="178">
        <f t="shared" si="162"/>
        <v>7787.1192489060704</v>
      </c>
      <c r="H104" s="402">
        <f>H103/H102*1000</f>
        <v>3300.0424319573253</v>
      </c>
      <c r="I104" s="514">
        <f>I103/I102*1000</f>
        <v>10161.422648919923</v>
      </c>
      <c r="J104" s="514">
        <f t="shared" ref="J104:K104" si="163">J103/J102*1000</f>
        <v>13144.204851752022</v>
      </c>
      <c r="K104" s="514">
        <f t="shared" si="163"/>
        <v>20177.083333333332</v>
      </c>
      <c r="L104" s="506">
        <f t="shared" si="101"/>
        <v>53.5</v>
      </c>
      <c r="M104" s="514">
        <f>M103/M102*1000</f>
        <v>11910.843373493975</v>
      </c>
      <c r="N104" s="514">
        <f>N103/N102*1000</f>
        <v>11769.789397240376</v>
      </c>
      <c r="O104" s="506">
        <f t="shared" si="102"/>
        <v>-1.2</v>
      </c>
      <c r="P104" s="514">
        <f>P103/P102*1000</f>
        <v>12493.002544529261</v>
      </c>
      <c r="Q104" s="514">
        <f>Q103/Q102*1000</f>
        <v>15223.363286264443</v>
      </c>
      <c r="R104" s="506">
        <f t="shared" si="103"/>
        <v>21.9</v>
      </c>
      <c r="S104" s="514">
        <f>S103/S102*1000</f>
        <v>9309.5442820292337</v>
      </c>
      <c r="T104" s="514">
        <f>T103/T102*1000</f>
        <v>16263.714474553864</v>
      </c>
      <c r="U104" s="506">
        <f t="shared" si="104"/>
        <v>74.7</v>
      </c>
      <c r="V104" s="514">
        <f>V103/V102*1000</f>
        <v>11139.305301645338</v>
      </c>
      <c r="W104" s="514">
        <f t="shared" ref="W104" si="164">W103/W102*1000</f>
        <v>15632.207792207791</v>
      </c>
      <c r="X104" s="506">
        <f t="shared" si="106"/>
        <v>40.299999999999997</v>
      </c>
      <c r="Y104" s="514">
        <f>Y103/Y102*1000</f>
        <v>6941.9176398279042</v>
      </c>
      <c r="Z104" s="514">
        <f>Z103/Z102*1000</f>
        <v>13737.135771853689</v>
      </c>
      <c r="AA104" s="506">
        <f t="shared" si="107"/>
        <v>97.9</v>
      </c>
      <c r="AB104" s="514">
        <f>AB103/AB102*1000</f>
        <v>9573.7047226043105</v>
      </c>
      <c r="AC104" s="514">
        <f t="shared" ref="AC104" si="165">AC103/AC102*1000</f>
        <v>15072.670693758007</v>
      </c>
      <c r="AD104" s="506">
        <f t="shared" si="109"/>
        <v>57.4</v>
      </c>
      <c r="AE104" s="514">
        <f>AE103/AE102*1000</f>
        <v>10840.846994535519</v>
      </c>
      <c r="AF104" s="514">
        <f>AF103/AF102*1000</f>
        <v>17652.142338416848</v>
      </c>
      <c r="AG104" s="506">
        <f t="shared" si="110"/>
        <v>62.8</v>
      </c>
      <c r="AH104" s="514">
        <f>AH103/AH102*1000</f>
        <v>9755.7911268158605</v>
      </c>
      <c r="AI104" s="514">
        <f t="shared" ref="AI104" si="166">AI103/AI102*1000</f>
        <v>15591.959064327484</v>
      </c>
      <c r="AJ104" s="506">
        <f t="shared" si="112"/>
        <v>59.8</v>
      </c>
    </row>
    <row r="105" spans="1:36" ht="22.5" customHeight="1">
      <c r="A105" s="785" t="s">
        <v>32</v>
      </c>
      <c r="B105" s="786"/>
      <c r="C105" s="787"/>
      <c r="D105" s="12" t="s">
        <v>569</v>
      </c>
      <c r="E105" s="416">
        <f t="shared" ref="E105:G106" si="167">SUM(E33+E63+E72+E81+E90+E99+E102)</f>
        <v>2581770</v>
      </c>
      <c r="F105" s="203">
        <f t="shared" si="167"/>
        <v>2533611</v>
      </c>
      <c r="G105" s="179">
        <f t="shared" si="167"/>
        <v>2744989</v>
      </c>
      <c r="H105" s="406">
        <f t="shared" ref="H105:H106" si="168">SUM(H33+H63+H72+H81+H90+H99+H102)</f>
        <v>2805302</v>
      </c>
      <c r="I105" s="521">
        <f>SUM(I33+I63+I72+I81+I90+I99+I102)</f>
        <v>2925245</v>
      </c>
      <c r="J105" s="521">
        <f t="shared" ref="J105:K106" si="169">SUM(J33+J63+J72+J81+J90+J99+J102)</f>
        <v>232394</v>
      </c>
      <c r="K105" s="521">
        <f t="shared" si="169"/>
        <v>222112</v>
      </c>
      <c r="L105" s="508">
        <f t="shared" si="101"/>
        <v>-4.4000000000000004</v>
      </c>
      <c r="M105" s="521">
        <f>SUM(M33+M63+M72+M81+M90+M99+M102)</f>
        <v>224012</v>
      </c>
      <c r="N105" s="521">
        <f>SUM(N33+N63+N72+N81+N90+N99+N102)</f>
        <v>228464</v>
      </c>
      <c r="O105" s="508">
        <f t="shared" si="102"/>
        <v>2</v>
      </c>
      <c r="P105" s="521">
        <f>SUM(P33+P63+P72+P81+P90+P99+P102)</f>
        <v>456406</v>
      </c>
      <c r="Q105" s="521">
        <f>SUM(Q33+Q63+Q72+Q81+Q90+Q99+Q102)</f>
        <v>450576</v>
      </c>
      <c r="R105" s="508">
        <f t="shared" si="103"/>
        <v>-1.3</v>
      </c>
      <c r="S105" s="521">
        <f>SUM(S33+S63+S72+S81+S90+S99+S102)</f>
        <v>256842</v>
      </c>
      <c r="T105" s="521">
        <f>SUM(T33+T63+T72+T81+T90+T99+T102)</f>
        <v>267213</v>
      </c>
      <c r="U105" s="508">
        <f t="shared" si="104"/>
        <v>4</v>
      </c>
      <c r="V105" s="521">
        <f>SUM(V33+V63+V72+V81+V90+V99+V102)</f>
        <v>713248</v>
      </c>
      <c r="W105" s="521">
        <f>SUM(W33+W63+W72+W81+W90+W99+W102)</f>
        <v>717789</v>
      </c>
      <c r="X105" s="508">
        <f t="shared" si="106"/>
        <v>0.6</v>
      </c>
      <c r="Y105" s="521">
        <f>SUM(Y33+Y63+Y72+Y81+Y90+Y99+Y102)</f>
        <v>230147</v>
      </c>
      <c r="Z105" s="521">
        <f>SUM(Z33+Z63+Z72+Z81+Z90+Z99+Z102)</f>
        <v>277615</v>
      </c>
      <c r="AA105" s="508">
        <f t="shared" si="107"/>
        <v>20.6</v>
      </c>
      <c r="AB105" s="521">
        <f>SUM(AB33+AB63+AB72+AB81+AB90+AB99+AB102)</f>
        <v>943395</v>
      </c>
      <c r="AC105" s="521">
        <f>SUM(AC33+AC63+AC72+AC81+AC90+AC99+AC102)</f>
        <v>995404</v>
      </c>
      <c r="AD105" s="508">
        <f t="shared" si="109"/>
        <v>5.5</v>
      </c>
      <c r="AE105" s="521">
        <f>SUM(AE33+AE63+AE72+AE81+AE90+AE99+AE102)</f>
        <v>210909</v>
      </c>
      <c r="AF105" s="521">
        <f>SUM(AF33+AF63+AF72+AF81+AF90+AF99+AF102)</f>
        <v>268744</v>
      </c>
      <c r="AG105" s="508">
        <f t="shared" si="110"/>
        <v>27.4</v>
      </c>
      <c r="AH105" s="521">
        <f>SUM(AH33+AH63+AH72+AH81+AH90+AH99+AH102)</f>
        <v>1154304</v>
      </c>
      <c r="AI105" s="521">
        <f>SUM(AI33+AI63+AI72+AI81+AI90+AI99+AI102)</f>
        <v>1264148</v>
      </c>
      <c r="AJ105" s="508">
        <f t="shared" si="112"/>
        <v>9.5</v>
      </c>
    </row>
    <row r="106" spans="1:36" ht="22.5" customHeight="1">
      <c r="A106" s="788"/>
      <c r="B106" s="789"/>
      <c r="C106" s="790"/>
      <c r="D106" s="664" t="s">
        <v>8</v>
      </c>
      <c r="E106" s="417">
        <f t="shared" si="167"/>
        <v>8846556</v>
      </c>
      <c r="F106" s="204">
        <f t="shared" si="167"/>
        <v>10467205</v>
      </c>
      <c r="G106" s="180">
        <f t="shared" si="167"/>
        <v>11873008</v>
      </c>
      <c r="H106" s="407">
        <f t="shared" si="168"/>
        <v>10975658</v>
      </c>
      <c r="I106" s="522">
        <f>SUM(I34+I64+I73+I82+I91+I100+I103)</f>
        <v>11019352</v>
      </c>
      <c r="J106" s="522">
        <f t="shared" si="169"/>
        <v>864557</v>
      </c>
      <c r="K106" s="522">
        <f t="shared" si="169"/>
        <v>1026145</v>
      </c>
      <c r="L106" s="509">
        <f t="shared" si="101"/>
        <v>18.7</v>
      </c>
      <c r="M106" s="522">
        <f>SUM(M34+M64+M73+M82+M91+M100+M103)</f>
        <v>843633</v>
      </c>
      <c r="N106" s="522">
        <f>SUM(N34+N64+N73+N82+N91+N100+N103)</f>
        <v>1039800</v>
      </c>
      <c r="O106" s="509">
        <f t="shared" si="102"/>
        <v>23.3</v>
      </c>
      <c r="P106" s="522">
        <f>SUM(P34+P64+P73+P82+P91+P100+P103)</f>
        <v>1708190</v>
      </c>
      <c r="Q106" s="522">
        <f>SUM(Q34+Q64+Q73+Q82+Q91+Q100+Q103)</f>
        <v>2065945</v>
      </c>
      <c r="R106" s="509">
        <f t="shared" si="103"/>
        <v>20.9</v>
      </c>
      <c r="S106" s="522">
        <f>SUM(S34+S64+S73+S82+S91+S100+S103)</f>
        <v>918931</v>
      </c>
      <c r="T106" s="522">
        <f>SUM(T34+T64+T73+T82+T91+T100+T103)</f>
        <v>1229788</v>
      </c>
      <c r="U106" s="509">
        <f t="shared" si="104"/>
        <v>33.799999999999997</v>
      </c>
      <c r="V106" s="522">
        <f>SUM(V34+V64+V73+V82+V91+V100+V103)</f>
        <v>2627121</v>
      </c>
      <c r="W106" s="522">
        <f>SUM(W34+W64+W73+W82+W91+W100+W103)</f>
        <v>3295733</v>
      </c>
      <c r="X106" s="509">
        <f t="shared" si="106"/>
        <v>25.5</v>
      </c>
      <c r="Y106" s="522">
        <f>SUM(Y34+Y64+Y73+Y82+Y91+Y100+Y103)</f>
        <v>805176</v>
      </c>
      <c r="Z106" s="522">
        <f>SUM(Z34+Z64+Z73+Z82+Z91+Z100+Z103)</f>
        <v>1286974</v>
      </c>
      <c r="AA106" s="509">
        <f t="shared" si="107"/>
        <v>59.8</v>
      </c>
      <c r="AB106" s="522">
        <f>SUM(AB34+AB64+AB73+AB82+AB91+AB100+AB103)</f>
        <v>3432297</v>
      </c>
      <c r="AC106" s="522">
        <f>SUM(AC34+AC64+AC73+AC82+AC91+AC100+AC103)</f>
        <v>4582707</v>
      </c>
      <c r="AD106" s="509">
        <f t="shared" si="109"/>
        <v>33.5</v>
      </c>
      <c r="AE106" s="522">
        <f>SUM(AE34+AE64+AE73+AE82+AE91+AE100+AE103)</f>
        <v>715593</v>
      </c>
      <c r="AF106" s="522">
        <f>SUM(AF34+AF64+AF73+AF82+AF91+AF100+AF103)</f>
        <v>1367860</v>
      </c>
      <c r="AG106" s="509">
        <f t="shared" si="110"/>
        <v>91.2</v>
      </c>
      <c r="AH106" s="522">
        <f>SUM(AH34+AH64+AH73+AH82+AH91+AH100+AH103)</f>
        <v>4147890</v>
      </c>
      <c r="AI106" s="522">
        <f>SUM(AI34+AI64+AI73+AI82+AI91+AI100+AI103)</f>
        <v>5950567</v>
      </c>
      <c r="AJ106" s="509">
        <f t="shared" si="112"/>
        <v>43.5</v>
      </c>
    </row>
    <row r="107" spans="1:36" ht="22.5" customHeight="1">
      <c r="A107" s="791"/>
      <c r="B107" s="792"/>
      <c r="C107" s="793"/>
      <c r="D107" s="670" t="s">
        <v>9</v>
      </c>
      <c r="E107" s="418">
        <f t="shared" ref="E107:G107" si="170">E106/E105*1000</f>
        <v>3426.5469038682763</v>
      </c>
      <c r="F107" s="205">
        <f t="shared" si="170"/>
        <v>4131.3386309105854</v>
      </c>
      <c r="G107" s="181">
        <f t="shared" si="170"/>
        <v>4325.3390086444797</v>
      </c>
      <c r="H107" s="408">
        <f>H106/H105*1000</f>
        <v>3912.4693170289688</v>
      </c>
      <c r="I107" s="515">
        <f>I106/I105*1000</f>
        <v>3766.9843038788204</v>
      </c>
      <c r="J107" s="515">
        <f>J106/J105*1000</f>
        <v>3720.2208318631288</v>
      </c>
      <c r="K107" s="515">
        <f>K106/K105*1000</f>
        <v>4619.9439922201409</v>
      </c>
      <c r="L107" s="510">
        <f t="shared" si="101"/>
        <v>24.2</v>
      </c>
      <c r="M107" s="515">
        <f>M106/M105*1000</f>
        <v>3766.0169990893346</v>
      </c>
      <c r="N107" s="515">
        <f>N106/N105*1000</f>
        <v>4551.2640941242389</v>
      </c>
      <c r="O107" s="510">
        <f t="shared" si="102"/>
        <v>20.9</v>
      </c>
      <c r="P107" s="515">
        <f>P106/P105*1000</f>
        <v>3742.6983869624851</v>
      </c>
      <c r="Q107" s="515">
        <f>Q106/Q105*1000</f>
        <v>4585.1199353716138</v>
      </c>
      <c r="R107" s="510">
        <f t="shared" si="103"/>
        <v>22.5</v>
      </c>
      <c r="S107" s="515">
        <f>S106/S105*1000</f>
        <v>3577.8065892649956</v>
      </c>
      <c r="T107" s="515">
        <f>T106/T105*1000</f>
        <v>4602.2760868670312</v>
      </c>
      <c r="U107" s="510">
        <f t="shared" si="104"/>
        <v>28.6</v>
      </c>
      <c r="V107" s="515">
        <f>V106/V105*1000</f>
        <v>3683.3205280631701</v>
      </c>
      <c r="W107" s="515">
        <f>W106/W105*1000</f>
        <v>4591.5066962575347</v>
      </c>
      <c r="X107" s="510">
        <f t="shared" si="106"/>
        <v>24.7</v>
      </c>
      <c r="Y107" s="515">
        <f>Y106/Y105*1000</f>
        <v>3498.5292009020322</v>
      </c>
      <c r="Z107" s="515">
        <f>Z106/Z105*1000</f>
        <v>4635.8229922734727</v>
      </c>
      <c r="AA107" s="510">
        <f t="shared" si="107"/>
        <v>32.5</v>
      </c>
      <c r="AB107" s="515">
        <f>AB106/AB105*1000</f>
        <v>3638.2395497114148</v>
      </c>
      <c r="AC107" s="515">
        <f>AC106/AC105*1000</f>
        <v>4603.8663698357659</v>
      </c>
      <c r="AD107" s="510">
        <f t="shared" si="109"/>
        <v>26.5</v>
      </c>
      <c r="AE107" s="515">
        <f>AE106/AE105*1000</f>
        <v>3392.899307284184</v>
      </c>
      <c r="AF107" s="515">
        <f>AF106/AF105*1000</f>
        <v>5089.8252612151346</v>
      </c>
      <c r="AG107" s="510">
        <f t="shared" si="110"/>
        <v>50</v>
      </c>
      <c r="AH107" s="515">
        <f>AH106/AH105*1000</f>
        <v>3593.4121340652027</v>
      </c>
      <c r="AI107" s="515">
        <f>AI106/AI105*1000</f>
        <v>4707.1759002901554</v>
      </c>
      <c r="AJ107" s="510">
        <f t="shared" si="112"/>
        <v>31</v>
      </c>
    </row>
  </sheetData>
  <mergeCells count="94">
    <mergeCell ref="G4:G5"/>
    <mergeCell ref="N3:O3"/>
    <mergeCell ref="M4:O4"/>
    <mergeCell ref="P4:R4"/>
    <mergeCell ref="T3:U3"/>
    <mergeCell ref="S4:U4"/>
    <mergeCell ref="Z3:AA3"/>
    <mergeCell ref="Y4:AA4"/>
    <mergeCell ref="AB4:AD4"/>
    <mergeCell ref="A105:C107"/>
    <mergeCell ref="B96:B98"/>
    <mergeCell ref="C96:C98"/>
    <mergeCell ref="B99:B101"/>
    <mergeCell ref="C99:C101"/>
    <mergeCell ref="A102:A104"/>
    <mergeCell ref="B102:B104"/>
    <mergeCell ref="C102:C104"/>
    <mergeCell ref="AF3:AG3"/>
    <mergeCell ref="AE4:AG4"/>
    <mergeCell ref="A75:A76"/>
    <mergeCell ref="B75:B77"/>
    <mergeCell ref="C75:C77"/>
    <mergeCell ref="B66:B68"/>
    <mergeCell ref="C66:C68"/>
    <mergeCell ref="B51:B53"/>
    <mergeCell ref="C51:C53"/>
    <mergeCell ref="B54:B56"/>
    <mergeCell ref="C54:C56"/>
    <mergeCell ref="B57:B59"/>
    <mergeCell ref="C57:C59"/>
    <mergeCell ref="B33:B35"/>
    <mergeCell ref="C33:C35"/>
    <mergeCell ref="A36:A37"/>
    <mergeCell ref="B81:B83"/>
    <mergeCell ref="C81:C83"/>
    <mergeCell ref="B69:B71"/>
    <mergeCell ref="B39:B41"/>
    <mergeCell ref="C39:C41"/>
    <mergeCell ref="B60:B62"/>
    <mergeCell ref="C60:C62"/>
    <mergeCell ref="B63:B65"/>
    <mergeCell ref="A93:A94"/>
    <mergeCell ref="B93:B95"/>
    <mergeCell ref="C93:C95"/>
    <mergeCell ref="A84:A85"/>
    <mergeCell ref="B84:B86"/>
    <mergeCell ref="C84:C86"/>
    <mergeCell ref="B87:B89"/>
    <mergeCell ref="C87:C89"/>
    <mergeCell ref="B90:B92"/>
    <mergeCell ref="C90:C92"/>
    <mergeCell ref="C63:C65"/>
    <mergeCell ref="B42:B44"/>
    <mergeCell ref="C42:C44"/>
    <mergeCell ref="B45:B47"/>
    <mergeCell ref="C45:C47"/>
    <mergeCell ref="B48:B50"/>
    <mergeCell ref="B78:B80"/>
    <mergeCell ref="A66:A67"/>
    <mergeCell ref="B36:B38"/>
    <mergeCell ref="C36:C38"/>
    <mergeCell ref="C78:C80"/>
    <mergeCell ref="C48:C50"/>
    <mergeCell ref="C69:C71"/>
    <mergeCell ref="B72:B74"/>
    <mergeCell ref="C72:C74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I4:I5"/>
    <mergeCell ref="A1:AJ1"/>
    <mergeCell ref="B24:B26"/>
    <mergeCell ref="C24:C26"/>
    <mergeCell ref="B27:B29"/>
    <mergeCell ref="C27:C29"/>
    <mergeCell ref="E4:E5"/>
    <mergeCell ref="F4:F5"/>
    <mergeCell ref="B9:B11"/>
    <mergeCell ref="C9:C11"/>
    <mergeCell ref="V4:X4"/>
    <mergeCell ref="AH4:AJ4"/>
    <mergeCell ref="A6:A7"/>
    <mergeCell ref="B6:B8"/>
    <mergeCell ref="C6:C8"/>
    <mergeCell ref="J4:L4"/>
    <mergeCell ref="A4:D5"/>
    <mergeCell ref="H4:H5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rowBreaks count="3" manualBreakCount="3">
    <brk id="35" max="16383" man="1"/>
    <brk id="65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7"/>
  <sheetViews>
    <sheetView workbookViewId="0">
      <pane xSplit="7" ySplit="5" topLeftCell="S6" activePane="bottomRight" state="frozen"/>
      <selection pane="topRight" activeCell="X1" sqref="X1"/>
      <selection pane="bottomLeft" activeCell="A6" sqref="A6"/>
      <selection pane="bottomRight" sqref="A1:AJ1"/>
    </sheetView>
  </sheetViews>
  <sheetFormatPr defaultRowHeight="16.5"/>
  <cols>
    <col min="1" max="3" width="9.875" customWidth="1"/>
    <col min="4" max="4" width="5.875" customWidth="1"/>
    <col min="5" max="6" width="13.625" hidden="1" customWidth="1"/>
    <col min="7" max="7" width="13.625" style="169" hidden="1" customWidth="1"/>
    <col min="8" max="8" width="13.625" style="350" hidden="1" customWidth="1"/>
    <col min="9" max="9" width="13.625" style="517" hidden="1" customWidth="1"/>
    <col min="10" max="11" width="11.625" style="304" hidden="1" customWidth="1"/>
    <col min="12" max="12" width="8.625" hidden="1" customWidth="1"/>
    <col min="13" max="14" width="11.625" style="303" hidden="1" customWidth="1"/>
    <col min="15" max="15" width="8.625" style="277" hidden="1" customWidth="1"/>
    <col min="16" max="16" width="11.625" style="303" hidden="1" customWidth="1"/>
    <col min="17" max="17" width="11.625" style="517" hidden="1" customWidth="1"/>
    <col min="18" max="18" width="8.625" style="277" hidden="1" customWidth="1"/>
    <col min="19" max="20" width="11.625" style="303" hidden="1" customWidth="1"/>
    <col min="21" max="21" width="8.625" style="277" hidden="1" customWidth="1"/>
    <col min="22" max="23" width="11.625" style="303" hidden="1" customWidth="1"/>
    <col min="24" max="24" width="8.625" style="277" hidden="1" customWidth="1"/>
    <col min="25" max="26" width="11.625" style="303" hidden="1" customWidth="1"/>
    <col min="27" max="27" width="8.625" style="277" hidden="1" customWidth="1"/>
    <col min="28" max="28" width="11.625" style="517" hidden="1" customWidth="1"/>
    <col min="29" max="29" width="11.625" style="303" hidden="1" customWidth="1"/>
    <col min="30" max="30" width="8.625" style="277" hidden="1" customWidth="1"/>
    <col min="31" max="32" width="11.625" style="303" customWidth="1"/>
    <col min="33" max="33" width="8.625" style="277" customWidth="1"/>
    <col min="34" max="34" width="11.625" style="517" customWidth="1"/>
    <col min="35" max="35" width="11.625" style="303" customWidth="1"/>
    <col min="36" max="36" width="8.625" style="277" customWidth="1"/>
  </cols>
  <sheetData>
    <row r="1" spans="1:36" ht="22.5">
      <c r="A1" s="736" t="s">
        <v>608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</row>
    <row r="3" spans="1:36">
      <c r="A3" s="2"/>
      <c r="B3" s="2"/>
      <c r="C3" s="2"/>
      <c r="D3" s="2"/>
      <c r="E3" s="2"/>
      <c r="F3" s="2"/>
      <c r="G3" s="278"/>
      <c r="H3" s="485"/>
      <c r="J3" s="278"/>
      <c r="K3" s="278"/>
      <c r="L3" s="429" t="s">
        <v>0</v>
      </c>
      <c r="M3" s="446"/>
      <c r="N3" s="751"/>
      <c r="O3" s="751"/>
      <c r="P3" s="279"/>
      <c r="R3" s="429" t="s">
        <v>0</v>
      </c>
      <c r="S3" s="446"/>
      <c r="T3" s="751"/>
      <c r="U3" s="751"/>
      <c r="V3" s="279"/>
      <c r="X3" s="452" t="s">
        <v>0</v>
      </c>
      <c r="Y3" s="446"/>
      <c r="Z3" s="751"/>
      <c r="AA3" s="751"/>
      <c r="AB3" s="486"/>
      <c r="AD3" s="458" t="s">
        <v>0</v>
      </c>
      <c r="AE3" s="446"/>
      <c r="AF3" s="751"/>
      <c r="AG3" s="751"/>
      <c r="AH3" s="486"/>
      <c r="AJ3" s="473" t="s">
        <v>0</v>
      </c>
    </row>
    <row r="4" spans="1:36" ht="17.25" customHeight="1">
      <c r="A4" s="733" t="s">
        <v>1</v>
      </c>
      <c r="B4" s="733"/>
      <c r="C4" s="733"/>
      <c r="D4" s="733"/>
      <c r="E4" s="733" t="s">
        <v>2</v>
      </c>
      <c r="F4" s="733" t="s">
        <v>3</v>
      </c>
      <c r="G4" s="733" t="s">
        <v>76</v>
      </c>
      <c r="H4" s="733" t="s">
        <v>294</v>
      </c>
      <c r="I4" s="733" t="s">
        <v>431</v>
      </c>
      <c r="J4" s="733" t="s">
        <v>33</v>
      </c>
      <c r="K4" s="733"/>
      <c r="L4" s="733"/>
      <c r="M4" s="733" t="s">
        <v>458</v>
      </c>
      <c r="N4" s="733"/>
      <c r="O4" s="733"/>
      <c r="P4" s="733" t="s">
        <v>459</v>
      </c>
      <c r="Q4" s="733"/>
      <c r="R4" s="733"/>
      <c r="S4" s="733" t="s">
        <v>479</v>
      </c>
      <c r="T4" s="733"/>
      <c r="U4" s="733"/>
      <c r="V4" s="733" t="s">
        <v>480</v>
      </c>
      <c r="W4" s="733"/>
      <c r="X4" s="733"/>
      <c r="Y4" s="733" t="s">
        <v>488</v>
      </c>
      <c r="Z4" s="733"/>
      <c r="AA4" s="733"/>
      <c r="AB4" s="733" t="s">
        <v>489</v>
      </c>
      <c r="AC4" s="733"/>
      <c r="AD4" s="733"/>
      <c r="AE4" s="733" t="s">
        <v>490</v>
      </c>
      <c r="AF4" s="733"/>
      <c r="AG4" s="733"/>
      <c r="AH4" s="733" t="s">
        <v>491</v>
      </c>
      <c r="AI4" s="733"/>
      <c r="AJ4" s="733"/>
    </row>
    <row r="5" spans="1:36" ht="17.25" customHeight="1" thickBot="1">
      <c r="A5" s="734"/>
      <c r="B5" s="734"/>
      <c r="C5" s="734"/>
      <c r="D5" s="734"/>
      <c r="E5" s="734"/>
      <c r="F5" s="734"/>
      <c r="G5" s="734"/>
      <c r="H5" s="734"/>
      <c r="I5" s="734"/>
      <c r="J5" s="674" t="s">
        <v>431</v>
      </c>
      <c r="K5" s="674" t="s">
        <v>503</v>
      </c>
      <c r="L5" s="499" t="s">
        <v>5</v>
      </c>
      <c r="M5" s="674" t="s">
        <v>431</v>
      </c>
      <c r="N5" s="674" t="s">
        <v>503</v>
      </c>
      <c r="O5" s="499" t="s">
        <v>5</v>
      </c>
      <c r="P5" s="674" t="s">
        <v>431</v>
      </c>
      <c r="Q5" s="691" t="s">
        <v>503</v>
      </c>
      <c r="R5" s="499" t="s">
        <v>5</v>
      </c>
      <c r="S5" s="674" t="s">
        <v>431</v>
      </c>
      <c r="T5" s="674" t="s">
        <v>503</v>
      </c>
      <c r="U5" s="499" t="s">
        <v>5</v>
      </c>
      <c r="V5" s="674" t="s">
        <v>431</v>
      </c>
      <c r="W5" s="674" t="s">
        <v>503</v>
      </c>
      <c r="X5" s="499" t="s">
        <v>5</v>
      </c>
      <c r="Y5" s="674" t="s">
        <v>431</v>
      </c>
      <c r="Z5" s="674" t="s">
        <v>503</v>
      </c>
      <c r="AA5" s="499" t="s">
        <v>5</v>
      </c>
      <c r="AB5" s="716" t="s">
        <v>431</v>
      </c>
      <c r="AC5" s="674" t="s">
        <v>503</v>
      </c>
      <c r="AD5" s="499" t="s">
        <v>5</v>
      </c>
      <c r="AE5" s="674" t="s">
        <v>431</v>
      </c>
      <c r="AF5" s="674" t="s">
        <v>503</v>
      </c>
      <c r="AG5" s="499" t="s">
        <v>5</v>
      </c>
      <c r="AH5" s="716" t="s">
        <v>431</v>
      </c>
      <c r="AI5" s="674" t="s">
        <v>503</v>
      </c>
      <c r="AJ5" s="499" t="s">
        <v>5</v>
      </c>
    </row>
    <row r="6" spans="1:36" ht="22.5" customHeight="1">
      <c r="A6" s="769" t="s">
        <v>6</v>
      </c>
      <c r="B6" s="823" t="s">
        <v>7</v>
      </c>
      <c r="C6" s="764" t="s">
        <v>297</v>
      </c>
      <c r="D6" s="693" t="s">
        <v>569</v>
      </c>
      <c r="E6" s="19">
        <v>379515</v>
      </c>
      <c r="F6" s="19">
        <v>308946</v>
      </c>
      <c r="G6" s="184">
        <v>262628</v>
      </c>
      <c r="H6" s="403">
        <v>229099</v>
      </c>
      <c r="I6" s="519">
        <v>220767</v>
      </c>
      <c r="J6" s="519">
        <v>16249</v>
      </c>
      <c r="K6" s="293">
        <v>25361</v>
      </c>
      <c r="L6" s="186">
        <f>ROUND(((K6/J6-1)*100),1)</f>
        <v>56.1</v>
      </c>
      <c r="M6" s="438">
        <f>P6-J6</f>
        <v>16674</v>
      </c>
      <c r="N6" s="438">
        <f>Q6-K6</f>
        <v>24458</v>
      </c>
      <c r="O6" s="195">
        <f>ROUND(((N6/M6-1)*100),1)</f>
        <v>46.7</v>
      </c>
      <c r="P6" s="519">
        <v>32923</v>
      </c>
      <c r="Q6" s="301">
        <v>49819</v>
      </c>
      <c r="R6" s="195">
        <f>ROUND(((Q6/P6-1)*100),1)</f>
        <v>51.3</v>
      </c>
      <c r="S6" s="438">
        <f>V6-P6</f>
        <v>20243</v>
      </c>
      <c r="T6" s="438">
        <f>W6-Q6</f>
        <v>29828</v>
      </c>
      <c r="U6" s="195">
        <f>ROUND(((T6/S6-1)*100),1)</f>
        <v>47.3</v>
      </c>
      <c r="V6" s="519">
        <v>53166</v>
      </c>
      <c r="W6" s="519">
        <v>79647</v>
      </c>
      <c r="X6" s="195">
        <f>ROUND(((W6/V6-1)*100),1)</f>
        <v>49.8</v>
      </c>
      <c r="Y6" s="438">
        <f>AB6-V6</f>
        <v>21108</v>
      </c>
      <c r="Z6" s="438">
        <f>AC6-W6</f>
        <v>24413</v>
      </c>
      <c r="AA6" s="195">
        <f>ROUND(((Z6/Y6-1)*100),1)</f>
        <v>15.7</v>
      </c>
      <c r="AB6" s="301">
        <v>74274</v>
      </c>
      <c r="AC6" s="519">
        <v>104060</v>
      </c>
      <c r="AD6" s="195">
        <f>ROUND(((AC6/AB6-1)*100),1)</f>
        <v>40.1</v>
      </c>
      <c r="AE6" s="438">
        <f>AH6-AB6</f>
        <v>17997</v>
      </c>
      <c r="AF6" s="438">
        <f>AI6-AC6</f>
        <v>25220</v>
      </c>
      <c r="AG6" s="195">
        <f>ROUND(((AF6/AE6-1)*100),1)</f>
        <v>40.1</v>
      </c>
      <c r="AH6" s="301">
        <v>92271</v>
      </c>
      <c r="AI6" s="519">
        <v>129280</v>
      </c>
      <c r="AJ6" s="195">
        <f>ROUND(((AI6/AH6-1)*100),1)</f>
        <v>40.1</v>
      </c>
    </row>
    <row r="7" spans="1:36" ht="22.5" customHeight="1">
      <c r="A7" s="819"/>
      <c r="B7" s="820"/>
      <c r="C7" s="822"/>
      <c r="D7" s="345" t="s">
        <v>8</v>
      </c>
      <c r="E7" s="5">
        <v>1832571</v>
      </c>
      <c r="F7" s="5">
        <v>1885676</v>
      </c>
      <c r="G7" s="174">
        <v>1728700</v>
      </c>
      <c r="H7" s="401">
        <v>1386802</v>
      </c>
      <c r="I7" s="606">
        <v>1339838</v>
      </c>
      <c r="J7" s="606">
        <v>98024</v>
      </c>
      <c r="K7" s="294">
        <v>194148</v>
      </c>
      <c r="L7" s="187">
        <f t="shared" ref="L7:L70" si="0">ROUND(((K7/J7-1)*100),1)</f>
        <v>98.1</v>
      </c>
      <c r="M7" s="294">
        <f>P7-J7</f>
        <v>97760</v>
      </c>
      <c r="N7" s="294">
        <f>Q7-K7</f>
        <v>194449</v>
      </c>
      <c r="O7" s="187">
        <f t="shared" ref="O7:O70" si="1">ROUND(((N7/M7-1)*100),1)</f>
        <v>98.9</v>
      </c>
      <c r="P7" s="606">
        <v>195784</v>
      </c>
      <c r="Q7" s="606">
        <v>388597</v>
      </c>
      <c r="R7" s="187">
        <f t="shared" ref="R7:R70" si="2">ROUND(((Q7/P7-1)*100),1)</f>
        <v>98.5</v>
      </c>
      <c r="S7" s="294">
        <f>V7-P7</f>
        <v>112887</v>
      </c>
      <c r="T7" s="294">
        <f>W7-Q7</f>
        <v>247873</v>
      </c>
      <c r="U7" s="187">
        <f t="shared" ref="U7:U70" si="3">ROUND(((T7/S7-1)*100),1)</f>
        <v>119.6</v>
      </c>
      <c r="V7" s="606">
        <v>308671</v>
      </c>
      <c r="W7" s="606">
        <v>636470</v>
      </c>
      <c r="X7" s="187">
        <f t="shared" ref="X7:X70" si="4">ROUND(((W7/V7-1)*100),1)</f>
        <v>106.2</v>
      </c>
      <c r="Y7" s="294">
        <f>AB7-V7</f>
        <v>112265</v>
      </c>
      <c r="Z7" s="294">
        <f>AC7-W7</f>
        <v>216878</v>
      </c>
      <c r="AA7" s="187">
        <f t="shared" ref="AA7:AA70" si="5">ROUND(((Z7/Y7-1)*100),1)</f>
        <v>93.2</v>
      </c>
      <c r="AB7" s="606">
        <v>420936</v>
      </c>
      <c r="AC7" s="606">
        <v>853348</v>
      </c>
      <c r="AD7" s="187">
        <f t="shared" ref="AD7:AD70" si="6">ROUND(((AC7/AB7-1)*100),1)</f>
        <v>102.7</v>
      </c>
      <c r="AE7" s="294">
        <f>AH7-AB7</f>
        <v>94588</v>
      </c>
      <c r="AF7" s="294">
        <f>AI7-AC7</f>
        <v>236337</v>
      </c>
      <c r="AG7" s="187">
        <f t="shared" ref="AG7:AG70" si="7">ROUND(((AF7/AE7-1)*100),1)</f>
        <v>149.9</v>
      </c>
      <c r="AH7" s="606">
        <v>515524</v>
      </c>
      <c r="AI7" s="606">
        <v>1089685</v>
      </c>
      <c r="AJ7" s="187">
        <f t="shared" ref="AJ7:AJ70" si="8">ROUND(((AI7/AH7-1)*100),1)</f>
        <v>111.4</v>
      </c>
    </row>
    <row r="8" spans="1:36" ht="22.5" customHeight="1">
      <c r="A8" s="11"/>
      <c r="B8" s="820"/>
      <c r="C8" s="822"/>
      <c r="D8" s="347" t="s">
        <v>9</v>
      </c>
      <c r="E8" s="10">
        <f t="shared" ref="E8:G8" si="9">E7/E6*1000</f>
        <v>4828.7182324809301</v>
      </c>
      <c r="F8" s="10">
        <f t="shared" si="9"/>
        <v>6103.5779715548988</v>
      </c>
      <c r="G8" s="178">
        <f t="shared" si="9"/>
        <v>6582.3141477679455</v>
      </c>
      <c r="H8" s="405">
        <f>H7/H6*1000</f>
        <v>6053.2870069271366</v>
      </c>
      <c r="I8" s="514">
        <f>I7/I6*1000</f>
        <v>6069.0139377714968</v>
      </c>
      <c r="J8" s="514">
        <f t="shared" ref="J8:K8" si="10">J7/J6*1000</f>
        <v>6032.6173918394979</v>
      </c>
      <c r="K8" s="514">
        <f t="shared" si="10"/>
        <v>7655.3763652852804</v>
      </c>
      <c r="L8" s="188">
        <f t="shared" si="0"/>
        <v>26.9</v>
      </c>
      <c r="M8" s="302">
        <f>M7/M6*1000</f>
        <v>5863.0202710807243</v>
      </c>
      <c r="N8" s="302">
        <f>N7/N6*1000</f>
        <v>7950.3230026985038</v>
      </c>
      <c r="O8" s="198">
        <f t="shared" si="1"/>
        <v>35.6</v>
      </c>
      <c r="P8" s="514">
        <f>P7/P6*1000</f>
        <v>5946.7241745891924</v>
      </c>
      <c r="Q8" s="516">
        <f>Q7/Q6*1000</f>
        <v>7800.1766394347533</v>
      </c>
      <c r="R8" s="198">
        <f t="shared" si="2"/>
        <v>31.2</v>
      </c>
      <c r="S8" s="302">
        <f>S7/S6*1000</f>
        <v>5576.5943783036109</v>
      </c>
      <c r="T8" s="302">
        <f>T7/T6*1000</f>
        <v>8310.0777792678018</v>
      </c>
      <c r="U8" s="198">
        <f t="shared" si="3"/>
        <v>49</v>
      </c>
      <c r="V8" s="514">
        <f>V7/V6*1000</f>
        <v>5805.7969378926382</v>
      </c>
      <c r="W8" s="514">
        <f t="shared" ref="W8" si="11">W7/W6*1000</f>
        <v>7991.1358871018374</v>
      </c>
      <c r="X8" s="198">
        <f t="shared" si="4"/>
        <v>37.6</v>
      </c>
      <c r="Y8" s="302">
        <f>Y7/Y6*1000</f>
        <v>5318.5995830964566</v>
      </c>
      <c r="Z8" s="302">
        <f>Z7/Z6*1000</f>
        <v>8883.7094990373971</v>
      </c>
      <c r="AA8" s="198">
        <f t="shared" si="5"/>
        <v>67</v>
      </c>
      <c r="AB8" s="516">
        <f>AB7/AB6*1000</f>
        <v>5667.3398497455373</v>
      </c>
      <c r="AC8" s="514">
        <f t="shared" ref="AC8" si="12">AC7/AC6*1000</f>
        <v>8200.5381510666921</v>
      </c>
      <c r="AD8" s="198">
        <f t="shared" si="6"/>
        <v>44.7</v>
      </c>
      <c r="AE8" s="302">
        <f>AE7/AE6*1000</f>
        <v>5255.7648496971715</v>
      </c>
      <c r="AF8" s="302">
        <f>AF7/AF6*1000</f>
        <v>9371.0150674068191</v>
      </c>
      <c r="AG8" s="198">
        <f t="shared" si="7"/>
        <v>78.3</v>
      </c>
      <c r="AH8" s="516">
        <f>AH7/AH6*1000</f>
        <v>5587.0641913493946</v>
      </c>
      <c r="AI8" s="514">
        <f t="shared" ref="AI8" si="13">AI7/AI6*1000</f>
        <v>8428.8753094059412</v>
      </c>
      <c r="AJ8" s="198">
        <f t="shared" si="8"/>
        <v>50.9</v>
      </c>
    </row>
    <row r="9" spans="1:36" ht="22.5" customHeight="1">
      <c r="A9" s="11"/>
      <c r="B9" s="820" t="s">
        <v>10</v>
      </c>
      <c r="C9" s="821" t="s">
        <v>283</v>
      </c>
      <c r="D9" s="694" t="s">
        <v>569</v>
      </c>
      <c r="E9" s="9">
        <f>405925-E6</f>
        <v>26410</v>
      </c>
      <c r="F9" s="9">
        <f>329836-F6</f>
        <v>20890</v>
      </c>
      <c r="G9" s="177">
        <f>285651-G6</f>
        <v>23023</v>
      </c>
      <c r="H9" s="520">
        <f>248226-H6</f>
        <v>19127</v>
      </c>
      <c r="I9" s="607">
        <f>238281-I6</f>
        <v>17514</v>
      </c>
      <c r="J9" s="607">
        <f>17610-J6</f>
        <v>1361</v>
      </c>
      <c r="K9" s="296">
        <f>26655-K6</f>
        <v>1294</v>
      </c>
      <c r="L9" s="189">
        <f t="shared" si="0"/>
        <v>-4.9000000000000004</v>
      </c>
      <c r="M9" s="296">
        <f>P9-J9</f>
        <v>923</v>
      </c>
      <c r="N9" s="296">
        <f>Q9-K9</f>
        <v>1036</v>
      </c>
      <c r="O9" s="200">
        <f t="shared" si="1"/>
        <v>12.2</v>
      </c>
      <c r="P9" s="607">
        <f>35207-P6</f>
        <v>2284</v>
      </c>
      <c r="Q9" s="503">
        <f>52149-Q6</f>
        <v>2330</v>
      </c>
      <c r="R9" s="200">
        <f t="shared" si="2"/>
        <v>2</v>
      </c>
      <c r="S9" s="296">
        <f>V9-P9</f>
        <v>1996</v>
      </c>
      <c r="T9" s="296">
        <f>W9-Q9</f>
        <v>1748</v>
      </c>
      <c r="U9" s="200">
        <f t="shared" si="3"/>
        <v>-12.4</v>
      </c>
      <c r="V9" s="607">
        <f>57446-V6</f>
        <v>4280</v>
      </c>
      <c r="W9" s="607">
        <f>83725-W6</f>
        <v>4078</v>
      </c>
      <c r="X9" s="200">
        <f t="shared" si="4"/>
        <v>-4.7</v>
      </c>
      <c r="Y9" s="296">
        <f>AB9-V9</f>
        <v>1267</v>
      </c>
      <c r="Z9" s="296">
        <f>AC9-W9</f>
        <v>1513</v>
      </c>
      <c r="AA9" s="200">
        <f t="shared" si="5"/>
        <v>19.399999999999999</v>
      </c>
      <c r="AB9" s="503">
        <f>79821-AB6</f>
        <v>5547</v>
      </c>
      <c r="AC9" s="607">
        <f>109651-AC6</f>
        <v>5591</v>
      </c>
      <c r="AD9" s="200">
        <f t="shared" si="6"/>
        <v>0.8</v>
      </c>
      <c r="AE9" s="296">
        <f>AH9-AB9</f>
        <v>1282</v>
      </c>
      <c r="AF9" s="296">
        <f>AI9-AC9</f>
        <v>1000</v>
      </c>
      <c r="AG9" s="200">
        <f t="shared" si="7"/>
        <v>-22</v>
      </c>
      <c r="AH9" s="503">
        <f>99100-AH6</f>
        <v>6829</v>
      </c>
      <c r="AI9" s="607">
        <f>135871-AI6</f>
        <v>6591</v>
      </c>
      <c r="AJ9" s="200">
        <f t="shared" si="8"/>
        <v>-3.5</v>
      </c>
    </row>
    <row r="10" spans="1:36" ht="22.5" customHeight="1">
      <c r="A10" s="11"/>
      <c r="B10" s="820"/>
      <c r="C10" s="822"/>
      <c r="D10" s="345" t="s">
        <v>8</v>
      </c>
      <c r="E10" s="5">
        <f>1968102-E7</f>
        <v>135531</v>
      </c>
      <c r="F10" s="5">
        <f>2019737-F7</f>
        <v>134061</v>
      </c>
      <c r="G10" s="174">
        <f>1888834-G7</f>
        <v>160134</v>
      </c>
      <c r="H10" s="403">
        <f>1510341-H7</f>
        <v>123539</v>
      </c>
      <c r="I10" s="606">
        <f>1459002-I7</f>
        <v>119164</v>
      </c>
      <c r="J10" s="606">
        <f>107195-J7</f>
        <v>9171</v>
      </c>
      <c r="K10" s="294">
        <f>203764-K7</f>
        <v>9616</v>
      </c>
      <c r="L10" s="187">
        <f t="shared" si="0"/>
        <v>4.9000000000000004</v>
      </c>
      <c r="M10" s="294">
        <f>P10-J10</f>
        <v>6309</v>
      </c>
      <c r="N10" s="294">
        <f>Q10-K10</f>
        <v>8438</v>
      </c>
      <c r="O10" s="187">
        <f t="shared" si="1"/>
        <v>33.700000000000003</v>
      </c>
      <c r="P10" s="606">
        <f>211264-P7</f>
        <v>15480</v>
      </c>
      <c r="Q10" s="606">
        <f>406651-Q7</f>
        <v>18054</v>
      </c>
      <c r="R10" s="187">
        <f t="shared" si="2"/>
        <v>16.600000000000001</v>
      </c>
      <c r="S10" s="294">
        <f>V10-P10</f>
        <v>12959</v>
      </c>
      <c r="T10" s="294">
        <f>W10-Q10</f>
        <v>14163</v>
      </c>
      <c r="U10" s="187">
        <f t="shared" si="3"/>
        <v>9.3000000000000007</v>
      </c>
      <c r="V10" s="606">
        <f>337110-V7</f>
        <v>28439</v>
      </c>
      <c r="W10" s="606">
        <f>668687-W7</f>
        <v>32217</v>
      </c>
      <c r="X10" s="187">
        <f t="shared" si="4"/>
        <v>13.3</v>
      </c>
      <c r="Y10" s="294">
        <f>AB10-V10</f>
        <v>7511</v>
      </c>
      <c r="Z10" s="294">
        <f>AC10-W10</f>
        <v>13703</v>
      </c>
      <c r="AA10" s="187">
        <f t="shared" si="5"/>
        <v>82.4</v>
      </c>
      <c r="AB10" s="606">
        <f>456886-AB7</f>
        <v>35950</v>
      </c>
      <c r="AC10" s="606">
        <f>899268-AC7</f>
        <v>45920</v>
      </c>
      <c r="AD10" s="187">
        <f t="shared" si="6"/>
        <v>27.7</v>
      </c>
      <c r="AE10" s="294">
        <f>AH10-AB10</f>
        <v>8006</v>
      </c>
      <c r="AF10" s="294">
        <f>AI10-AC10</f>
        <v>9937</v>
      </c>
      <c r="AG10" s="187">
        <f t="shared" si="7"/>
        <v>24.1</v>
      </c>
      <c r="AH10" s="606">
        <f>559480-AH7</f>
        <v>43956</v>
      </c>
      <c r="AI10" s="606">
        <f>1145542-AI7</f>
        <v>55857</v>
      </c>
      <c r="AJ10" s="187">
        <f t="shared" si="8"/>
        <v>27.1</v>
      </c>
    </row>
    <row r="11" spans="1:36" ht="22.5" customHeight="1">
      <c r="A11" s="11"/>
      <c r="B11" s="820"/>
      <c r="C11" s="822"/>
      <c r="D11" s="347" t="s">
        <v>9</v>
      </c>
      <c r="E11" s="10">
        <f t="shared" ref="E11:G11" si="14">E10/E9*1000</f>
        <v>5131.8061340401364</v>
      </c>
      <c r="F11" s="10">
        <f t="shared" si="14"/>
        <v>6417.4724748683584</v>
      </c>
      <c r="G11" s="178">
        <f t="shared" si="14"/>
        <v>6955.3924336533037</v>
      </c>
      <c r="H11" s="405">
        <f>H10/H9*1000</f>
        <v>6458.8801171119358</v>
      </c>
      <c r="I11" s="514">
        <f>I10/I9*1000</f>
        <v>6803.9282859426748</v>
      </c>
      <c r="J11" s="514">
        <f t="shared" ref="J11:K11" si="15">J10/J9*1000</f>
        <v>6738.4276267450405</v>
      </c>
      <c r="K11" s="514">
        <f t="shared" si="15"/>
        <v>7431.2210200927357</v>
      </c>
      <c r="L11" s="188">
        <f t="shared" si="0"/>
        <v>10.3</v>
      </c>
      <c r="M11" s="302">
        <f>M10/M9*1000</f>
        <v>6835.3196099674969</v>
      </c>
      <c r="N11" s="302">
        <f>N10/N9*1000</f>
        <v>8144.7876447876442</v>
      </c>
      <c r="O11" s="198">
        <f t="shared" si="1"/>
        <v>19.2</v>
      </c>
      <c r="P11" s="514">
        <f>P10/P9*1000</f>
        <v>6777.5831873905427</v>
      </c>
      <c r="Q11" s="516">
        <f>Q10/Q9*1000</f>
        <v>7748.4978540772527</v>
      </c>
      <c r="R11" s="198">
        <f t="shared" si="2"/>
        <v>14.3</v>
      </c>
      <c r="S11" s="302">
        <f>S10/S9*1000</f>
        <v>6492.4849699398801</v>
      </c>
      <c r="T11" s="302">
        <f>T10/T9*1000</f>
        <v>8102.4027459954232</v>
      </c>
      <c r="U11" s="198">
        <f t="shared" si="3"/>
        <v>24.8</v>
      </c>
      <c r="V11" s="514">
        <f>V10/V9*1000</f>
        <v>6644.6261682242994</v>
      </c>
      <c r="W11" s="514">
        <f t="shared" ref="W11" si="16">W10/W9*1000</f>
        <v>7900.1961745953895</v>
      </c>
      <c r="X11" s="198">
        <f t="shared" si="4"/>
        <v>18.899999999999999</v>
      </c>
      <c r="Y11" s="302">
        <f>Y10/Y9*1000</f>
        <v>5928.1767955801106</v>
      </c>
      <c r="Z11" s="302">
        <f>Z10/Z9*1000</f>
        <v>9056.8407138136154</v>
      </c>
      <c r="AA11" s="198">
        <f t="shared" si="5"/>
        <v>52.8</v>
      </c>
      <c r="AB11" s="516">
        <f>AB10/AB9*1000</f>
        <v>6480.980710293853</v>
      </c>
      <c r="AC11" s="514">
        <f t="shared" ref="AC11" si="17">AC10/AC9*1000</f>
        <v>8213.1997853693447</v>
      </c>
      <c r="AD11" s="198">
        <f t="shared" si="6"/>
        <v>26.7</v>
      </c>
      <c r="AE11" s="302">
        <f>AE10/AE9*1000</f>
        <v>6244.9297971918877</v>
      </c>
      <c r="AF11" s="302">
        <f>AF10/AF9*1000</f>
        <v>9937</v>
      </c>
      <c r="AG11" s="198">
        <f t="shared" si="7"/>
        <v>59.1</v>
      </c>
      <c r="AH11" s="516">
        <f>AH10/AH9*1000</f>
        <v>6436.6671547810802</v>
      </c>
      <c r="AI11" s="514">
        <f t="shared" ref="AI11" si="18">AI10/AI9*1000</f>
        <v>8474.738279472007</v>
      </c>
      <c r="AJ11" s="198">
        <f t="shared" si="8"/>
        <v>31.7</v>
      </c>
    </row>
    <row r="12" spans="1:36" ht="22.5" customHeight="1">
      <c r="A12" s="11"/>
      <c r="B12" s="820" t="s">
        <v>11</v>
      </c>
      <c r="C12" s="822">
        <v>7404</v>
      </c>
      <c r="D12" s="694" t="s">
        <v>569</v>
      </c>
      <c r="E12" s="9">
        <v>273616</v>
      </c>
      <c r="F12" s="9">
        <v>331003</v>
      </c>
      <c r="G12" s="177">
        <v>338644</v>
      </c>
      <c r="H12" s="520">
        <v>355381</v>
      </c>
      <c r="I12" s="607">
        <v>334198</v>
      </c>
      <c r="J12" s="607">
        <v>33087</v>
      </c>
      <c r="K12" s="296">
        <v>22706</v>
      </c>
      <c r="L12" s="189">
        <f t="shared" si="0"/>
        <v>-31.4</v>
      </c>
      <c r="M12" s="296">
        <f>P12-J12</f>
        <v>32413</v>
      </c>
      <c r="N12" s="296">
        <f>Q12-K12</f>
        <v>24717</v>
      </c>
      <c r="O12" s="200">
        <f t="shared" si="1"/>
        <v>-23.7</v>
      </c>
      <c r="P12" s="607">
        <v>65500</v>
      </c>
      <c r="Q12" s="503">
        <v>47423</v>
      </c>
      <c r="R12" s="200">
        <f t="shared" si="2"/>
        <v>-27.6</v>
      </c>
      <c r="S12" s="296">
        <f>V12-P12</f>
        <v>32284</v>
      </c>
      <c r="T12" s="296">
        <f>W12-Q12</f>
        <v>29822</v>
      </c>
      <c r="U12" s="200">
        <f t="shared" si="3"/>
        <v>-7.6</v>
      </c>
      <c r="V12" s="607">
        <v>97784</v>
      </c>
      <c r="W12" s="607">
        <v>77245</v>
      </c>
      <c r="X12" s="200">
        <f t="shared" si="4"/>
        <v>-21</v>
      </c>
      <c r="Y12" s="296">
        <f>AB12-V12</f>
        <v>27974</v>
      </c>
      <c r="Z12" s="296">
        <f>AC12-W12</f>
        <v>30582</v>
      </c>
      <c r="AA12" s="200">
        <f t="shared" si="5"/>
        <v>9.3000000000000007</v>
      </c>
      <c r="AB12" s="503">
        <v>125758</v>
      </c>
      <c r="AC12" s="607">
        <v>107827</v>
      </c>
      <c r="AD12" s="200">
        <f t="shared" si="6"/>
        <v>-14.3</v>
      </c>
      <c r="AE12" s="296">
        <f>AH12-AB12</f>
        <v>22630</v>
      </c>
      <c r="AF12" s="296">
        <f>AI12-AC12</f>
        <v>30385</v>
      </c>
      <c r="AG12" s="200">
        <f t="shared" si="7"/>
        <v>34.299999999999997</v>
      </c>
      <c r="AH12" s="503">
        <v>148388</v>
      </c>
      <c r="AI12" s="607">
        <v>138212</v>
      </c>
      <c r="AJ12" s="200">
        <f t="shared" si="8"/>
        <v>-6.9</v>
      </c>
    </row>
    <row r="13" spans="1:36" ht="22.5" customHeight="1">
      <c r="A13" s="11"/>
      <c r="B13" s="820"/>
      <c r="C13" s="822"/>
      <c r="D13" s="345" t="s">
        <v>8</v>
      </c>
      <c r="E13" s="5">
        <v>1189101</v>
      </c>
      <c r="F13" s="5">
        <v>1701338</v>
      </c>
      <c r="G13" s="174">
        <v>1988769</v>
      </c>
      <c r="H13" s="401">
        <v>1892483</v>
      </c>
      <c r="I13" s="606">
        <v>1717260</v>
      </c>
      <c r="J13" s="606">
        <v>170056</v>
      </c>
      <c r="K13" s="294">
        <v>142344</v>
      </c>
      <c r="L13" s="187">
        <f t="shared" si="0"/>
        <v>-16.3</v>
      </c>
      <c r="M13" s="294">
        <f>P13-J13</f>
        <v>167169</v>
      </c>
      <c r="N13" s="294">
        <f>Q13-K13</f>
        <v>164332</v>
      </c>
      <c r="O13" s="187">
        <f t="shared" si="1"/>
        <v>-1.7</v>
      </c>
      <c r="P13" s="606">
        <v>337225</v>
      </c>
      <c r="Q13" s="606">
        <v>306676</v>
      </c>
      <c r="R13" s="187">
        <f t="shared" si="2"/>
        <v>-9.1</v>
      </c>
      <c r="S13" s="294">
        <f>V13-P13</f>
        <v>157508</v>
      </c>
      <c r="T13" s="294">
        <f>W13-Q13</f>
        <v>209080</v>
      </c>
      <c r="U13" s="187">
        <f t="shared" si="3"/>
        <v>32.700000000000003</v>
      </c>
      <c r="V13" s="606">
        <v>494733</v>
      </c>
      <c r="W13" s="606">
        <v>515756</v>
      </c>
      <c r="X13" s="187">
        <f t="shared" si="4"/>
        <v>4.2</v>
      </c>
      <c r="Y13" s="294">
        <f>AB13-V13</f>
        <v>128292</v>
      </c>
      <c r="Z13" s="294">
        <f>AC13-W13</f>
        <v>230063</v>
      </c>
      <c r="AA13" s="187">
        <f t="shared" si="5"/>
        <v>79.3</v>
      </c>
      <c r="AB13" s="606">
        <v>623025</v>
      </c>
      <c r="AC13" s="606">
        <v>745819</v>
      </c>
      <c r="AD13" s="187">
        <f t="shared" si="6"/>
        <v>19.7</v>
      </c>
      <c r="AE13" s="294">
        <f>AH13-AB13</f>
        <v>100928</v>
      </c>
      <c r="AF13" s="294">
        <f>AI13-AC13</f>
        <v>238654</v>
      </c>
      <c r="AG13" s="187">
        <f t="shared" si="7"/>
        <v>136.5</v>
      </c>
      <c r="AH13" s="606">
        <v>723953</v>
      </c>
      <c r="AI13" s="606">
        <v>984473</v>
      </c>
      <c r="AJ13" s="187">
        <f t="shared" si="8"/>
        <v>36</v>
      </c>
    </row>
    <row r="14" spans="1:36" ht="22.5" customHeight="1">
      <c r="A14" s="11"/>
      <c r="B14" s="820"/>
      <c r="C14" s="822"/>
      <c r="D14" s="347" t="s">
        <v>9</v>
      </c>
      <c r="E14" s="10">
        <f t="shared" ref="E14:G14" si="19">E13/E12*1000</f>
        <v>4345.8752412139638</v>
      </c>
      <c r="F14" s="10">
        <f t="shared" si="19"/>
        <v>5139.9473720781989</v>
      </c>
      <c r="G14" s="178">
        <f t="shared" si="19"/>
        <v>5872.7424670155087</v>
      </c>
      <c r="H14" s="405">
        <f>H13/H12*1000</f>
        <v>5325.2227890630056</v>
      </c>
      <c r="I14" s="514">
        <f>I13/I12*1000</f>
        <v>5138.4508584731211</v>
      </c>
      <c r="J14" s="514">
        <f t="shared" ref="J14:K14" si="20">J13/J12*1000</f>
        <v>5139.6621029407315</v>
      </c>
      <c r="K14" s="514">
        <f t="shared" si="20"/>
        <v>6269.0037875451426</v>
      </c>
      <c r="L14" s="188">
        <f t="shared" si="0"/>
        <v>22</v>
      </c>
      <c r="M14" s="302">
        <f>M13/M12*1000</f>
        <v>5157.4676827198964</v>
      </c>
      <c r="N14" s="302">
        <f>N13/N12*1000</f>
        <v>6648.5414896629845</v>
      </c>
      <c r="O14" s="198">
        <f t="shared" si="1"/>
        <v>28.9</v>
      </c>
      <c r="P14" s="514">
        <f>P13/P12*1000</f>
        <v>5148.4732824427483</v>
      </c>
      <c r="Q14" s="516">
        <f>Q13/Q12*1000</f>
        <v>6466.8198975180821</v>
      </c>
      <c r="R14" s="198">
        <f t="shared" si="2"/>
        <v>25.6</v>
      </c>
      <c r="S14" s="302">
        <f>S13/S12*1000</f>
        <v>4878.8254243588153</v>
      </c>
      <c r="T14" s="302">
        <f>T13/T12*1000</f>
        <v>7010.9315270605593</v>
      </c>
      <c r="U14" s="198">
        <f t="shared" si="3"/>
        <v>43.7</v>
      </c>
      <c r="V14" s="514">
        <f>V13/V12*1000</f>
        <v>5059.4473533502414</v>
      </c>
      <c r="W14" s="514">
        <f t="shared" ref="W14" si="21">W13/W12*1000</f>
        <v>6676.8852352903104</v>
      </c>
      <c r="X14" s="198">
        <f t="shared" si="4"/>
        <v>32</v>
      </c>
      <c r="Y14" s="302">
        <f>Y13/Y12*1000</f>
        <v>4586.1156788446415</v>
      </c>
      <c r="Z14" s="302">
        <f>Z13/Z12*1000</f>
        <v>7522.8238833300629</v>
      </c>
      <c r="AA14" s="198">
        <f t="shared" si="5"/>
        <v>64</v>
      </c>
      <c r="AB14" s="516">
        <f>AB13/AB12*1000</f>
        <v>4954.1579859730591</v>
      </c>
      <c r="AC14" s="514">
        <f t="shared" ref="AC14" si="22">AC13/AC12*1000</f>
        <v>6916.8111882923567</v>
      </c>
      <c r="AD14" s="198">
        <f t="shared" si="6"/>
        <v>39.6</v>
      </c>
      <c r="AE14" s="302">
        <f>AE13/AE12*1000</f>
        <v>4459.9204595669462</v>
      </c>
      <c r="AF14" s="302">
        <f>AF13/AF12*1000</f>
        <v>7854.3360210630244</v>
      </c>
      <c r="AG14" s="198">
        <f t="shared" si="7"/>
        <v>76.099999999999994</v>
      </c>
      <c r="AH14" s="516">
        <f>AH13/AH12*1000</f>
        <v>4878.7839987060952</v>
      </c>
      <c r="AI14" s="514">
        <f t="shared" ref="AI14" si="23">AI13/AI12*1000</f>
        <v>7122.9198622406166</v>
      </c>
      <c r="AJ14" s="198">
        <f t="shared" si="8"/>
        <v>46</v>
      </c>
    </row>
    <row r="15" spans="1:36" ht="22.5" customHeight="1">
      <c r="A15" s="11" t="s">
        <v>12</v>
      </c>
      <c r="B15" s="820" t="s">
        <v>13</v>
      </c>
      <c r="C15" s="822">
        <v>7407</v>
      </c>
      <c r="D15" s="694" t="s">
        <v>569</v>
      </c>
      <c r="E15" s="9">
        <v>4142</v>
      </c>
      <c r="F15" s="9">
        <v>2845</v>
      </c>
      <c r="G15" s="177">
        <v>1970</v>
      </c>
      <c r="H15" s="520">
        <v>2387</v>
      </c>
      <c r="I15" s="607">
        <v>2679</v>
      </c>
      <c r="J15" s="607">
        <v>173</v>
      </c>
      <c r="K15" s="296">
        <v>187</v>
      </c>
      <c r="L15" s="189">
        <f t="shared" si="0"/>
        <v>8.1</v>
      </c>
      <c r="M15" s="296">
        <f>P15-J15</f>
        <v>145</v>
      </c>
      <c r="N15" s="296">
        <f>Q15-K15</f>
        <v>259</v>
      </c>
      <c r="O15" s="200">
        <f t="shared" si="1"/>
        <v>78.599999999999994</v>
      </c>
      <c r="P15" s="607">
        <v>318</v>
      </c>
      <c r="Q15" s="503">
        <v>446</v>
      </c>
      <c r="R15" s="200">
        <f t="shared" si="2"/>
        <v>40.299999999999997</v>
      </c>
      <c r="S15" s="296">
        <f>V15-P15</f>
        <v>251</v>
      </c>
      <c r="T15" s="296">
        <f>W15-Q15</f>
        <v>261</v>
      </c>
      <c r="U15" s="200">
        <f t="shared" si="3"/>
        <v>4</v>
      </c>
      <c r="V15" s="607">
        <v>569</v>
      </c>
      <c r="W15" s="607">
        <v>707</v>
      </c>
      <c r="X15" s="200">
        <f t="shared" si="4"/>
        <v>24.3</v>
      </c>
      <c r="Y15" s="296">
        <f>AB15-V15</f>
        <v>175</v>
      </c>
      <c r="Z15" s="296">
        <f>AC15-W15</f>
        <v>320</v>
      </c>
      <c r="AA15" s="200">
        <f t="shared" si="5"/>
        <v>82.9</v>
      </c>
      <c r="AB15" s="503">
        <v>744</v>
      </c>
      <c r="AC15" s="607">
        <v>1027</v>
      </c>
      <c r="AD15" s="200">
        <f t="shared" si="6"/>
        <v>38</v>
      </c>
      <c r="AE15" s="296">
        <f>AH15-AB15</f>
        <v>189</v>
      </c>
      <c r="AF15" s="296">
        <f>AI15-AC15</f>
        <v>275</v>
      </c>
      <c r="AG15" s="200">
        <f t="shared" si="7"/>
        <v>45.5</v>
      </c>
      <c r="AH15" s="503">
        <v>933</v>
      </c>
      <c r="AI15" s="607">
        <v>1302</v>
      </c>
      <c r="AJ15" s="200">
        <f t="shared" si="8"/>
        <v>39.5</v>
      </c>
    </row>
    <row r="16" spans="1:36" ht="22.5" customHeight="1">
      <c r="A16" s="11" t="s">
        <v>12</v>
      </c>
      <c r="B16" s="820"/>
      <c r="C16" s="822"/>
      <c r="D16" s="345" t="s">
        <v>8</v>
      </c>
      <c r="E16" s="5">
        <v>28658</v>
      </c>
      <c r="F16" s="5">
        <v>25964</v>
      </c>
      <c r="G16" s="174">
        <v>23915</v>
      </c>
      <c r="H16" s="401">
        <v>24145</v>
      </c>
      <c r="I16" s="606">
        <v>24926</v>
      </c>
      <c r="J16" s="606">
        <v>1572</v>
      </c>
      <c r="K16" s="294">
        <v>1600</v>
      </c>
      <c r="L16" s="187">
        <f t="shared" si="0"/>
        <v>1.8</v>
      </c>
      <c r="M16" s="294">
        <f>P16-J16</f>
        <v>1370</v>
      </c>
      <c r="N16" s="294">
        <f>Q16-K16</f>
        <v>3260</v>
      </c>
      <c r="O16" s="187">
        <f t="shared" si="1"/>
        <v>138</v>
      </c>
      <c r="P16" s="606">
        <v>2942</v>
      </c>
      <c r="Q16" s="606">
        <v>4860</v>
      </c>
      <c r="R16" s="187">
        <f t="shared" si="2"/>
        <v>65.2</v>
      </c>
      <c r="S16" s="294">
        <f>V16-P16</f>
        <v>2512</v>
      </c>
      <c r="T16" s="294">
        <f>W16-Q16</f>
        <v>2856</v>
      </c>
      <c r="U16" s="187">
        <f t="shared" si="3"/>
        <v>13.7</v>
      </c>
      <c r="V16" s="606">
        <v>5454</v>
      </c>
      <c r="W16" s="606">
        <v>7716</v>
      </c>
      <c r="X16" s="187">
        <f t="shared" si="4"/>
        <v>41.5</v>
      </c>
      <c r="Y16" s="294">
        <f>AB16-V16</f>
        <v>1780</v>
      </c>
      <c r="Z16" s="294">
        <f>AC16-W16</f>
        <v>3005</v>
      </c>
      <c r="AA16" s="187">
        <f t="shared" si="5"/>
        <v>68.8</v>
      </c>
      <c r="AB16" s="606">
        <v>7234</v>
      </c>
      <c r="AC16" s="606">
        <v>10721</v>
      </c>
      <c r="AD16" s="187">
        <f t="shared" si="6"/>
        <v>48.2</v>
      </c>
      <c r="AE16" s="294">
        <f>AH16-AB16</f>
        <v>1746</v>
      </c>
      <c r="AF16" s="294">
        <f>AI16-AC16</f>
        <v>3058</v>
      </c>
      <c r="AG16" s="187">
        <f t="shared" si="7"/>
        <v>75.099999999999994</v>
      </c>
      <c r="AH16" s="606">
        <v>8980</v>
      </c>
      <c r="AI16" s="606">
        <v>13779</v>
      </c>
      <c r="AJ16" s="187">
        <f t="shared" si="8"/>
        <v>53.4</v>
      </c>
    </row>
    <row r="17" spans="1:36" ht="22.5" customHeight="1">
      <c r="A17" s="11"/>
      <c r="B17" s="820"/>
      <c r="C17" s="822"/>
      <c r="D17" s="347" t="s">
        <v>9</v>
      </c>
      <c r="E17" s="10">
        <f t="shared" ref="E17:G17" si="24">E16/E15*1000</f>
        <v>6918.8797682279092</v>
      </c>
      <c r="F17" s="10">
        <f t="shared" si="24"/>
        <v>9126.1862917398958</v>
      </c>
      <c r="G17" s="178">
        <f t="shared" si="24"/>
        <v>12139.593908629442</v>
      </c>
      <c r="H17" s="405">
        <f>H16/H15*1000</f>
        <v>10115.207373271889</v>
      </c>
      <c r="I17" s="514">
        <f>I16/I15*1000</f>
        <v>9304.2179917879803</v>
      </c>
      <c r="J17" s="514">
        <f t="shared" ref="J17:K17" si="25">J16/J15*1000</f>
        <v>9086.7052023121396</v>
      </c>
      <c r="K17" s="514">
        <f t="shared" si="25"/>
        <v>8556.1497326203207</v>
      </c>
      <c r="L17" s="188">
        <f t="shared" si="0"/>
        <v>-5.8</v>
      </c>
      <c r="M17" s="302">
        <f>M16/M15*1000</f>
        <v>9448.2758620689656</v>
      </c>
      <c r="N17" s="302">
        <f>N16/N15*1000</f>
        <v>12586.872586872587</v>
      </c>
      <c r="O17" s="198">
        <f t="shared" si="1"/>
        <v>33.200000000000003</v>
      </c>
      <c r="P17" s="514">
        <f>P16/P15*1000</f>
        <v>9251.5723270440249</v>
      </c>
      <c r="Q17" s="516">
        <f>Q16/Q15*1000</f>
        <v>10896.860986547086</v>
      </c>
      <c r="R17" s="198">
        <f t="shared" si="2"/>
        <v>17.8</v>
      </c>
      <c r="S17" s="302">
        <f>S16/S15*1000</f>
        <v>10007.968127490039</v>
      </c>
      <c r="T17" s="302">
        <f>T16/T15*1000</f>
        <v>10942.528735632184</v>
      </c>
      <c r="U17" s="198">
        <f t="shared" si="3"/>
        <v>9.3000000000000007</v>
      </c>
      <c r="V17" s="514">
        <f>V16/V15*1000</f>
        <v>9585.2372583479792</v>
      </c>
      <c r="W17" s="514">
        <f t="shared" ref="W17" si="26">W16/W15*1000</f>
        <v>10913.719943422913</v>
      </c>
      <c r="X17" s="198">
        <f t="shared" si="4"/>
        <v>13.9</v>
      </c>
      <c r="Y17" s="302">
        <f>Y16/Y15*1000</f>
        <v>10171.428571428571</v>
      </c>
      <c r="Z17" s="302">
        <f>Z16/Z15*1000</f>
        <v>9390.625</v>
      </c>
      <c r="AA17" s="198">
        <f t="shared" si="5"/>
        <v>-7.7</v>
      </c>
      <c r="AB17" s="516">
        <f>AB16/AB15*1000</f>
        <v>9723.1182795698915</v>
      </c>
      <c r="AC17" s="514">
        <f t="shared" ref="AC17" si="27">AC16/AC15*1000</f>
        <v>10439.143135345666</v>
      </c>
      <c r="AD17" s="198">
        <f t="shared" si="6"/>
        <v>7.4</v>
      </c>
      <c r="AE17" s="302">
        <f>AE16/AE15*1000</f>
        <v>9238.0952380952367</v>
      </c>
      <c r="AF17" s="302">
        <f>AF16/AF15*1000</f>
        <v>11120</v>
      </c>
      <c r="AG17" s="198">
        <f t="shared" si="7"/>
        <v>20.399999999999999</v>
      </c>
      <c r="AH17" s="516">
        <f>AH16/AH15*1000</f>
        <v>9624.8660235798507</v>
      </c>
      <c r="AI17" s="514">
        <f t="shared" ref="AI17" si="28">AI16/AI15*1000</f>
        <v>10582.94930875576</v>
      </c>
      <c r="AJ17" s="198">
        <f t="shared" si="8"/>
        <v>10</v>
      </c>
    </row>
    <row r="18" spans="1:36" ht="22.5" customHeight="1">
      <c r="A18" s="11"/>
      <c r="B18" s="820" t="s">
        <v>14</v>
      </c>
      <c r="C18" s="822">
        <v>7408</v>
      </c>
      <c r="D18" s="694" t="s">
        <v>569</v>
      </c>
      <c r="E18" s="9">
        <v>4455</v>
      </c>
      <c r="F18" s="9">
        <v>5260</v>
      </c>
      <c r="G18" s="177">
        <v>6202</v>
      </c>
      <c r="H18" s="520">
        <v>5892</v>
      </c>
      <c r="I18" s="607">
        <v>6109</v>
      </c>
      <c r="J18" s="607">
        <v>545</v>
      </c>
      <c r="K18" s="296">
        <v>627</v>
      </c>
      <c r="L18" s="189">
        <f t="shared" si="0"/>
        <v>15</v>
      </c>
      <c r="M18" s="296">
        <f>P18-J18</f>
        <v>361</v>
      </c>
      <c r="N18" s="296">
        <f>Q18-K18</f>
        <v>689</v>
      </c>
      <c r="O18" s="200">
        <f t="shared" si="1"/>
        <v>90.9</v>
      </c>
      <c r="P18" s="607">
        <v>906</v>
      </c>
      <c r="Q18" s="503">
        <v>1316</v>
      </c>
      <c r="R18" s="200">
        <f t="shared" si="2"/>
        <v>45.3</v>
      </c>
      <c r="S18" s="296">
        <f>V18-P18</f>
        <v>629</v>
      </c>
      <c r="T18" s="296">
        <f>W18-Q18</f>
        <v>1126</v>
      </c>
      <c r="U18" s="200">
        <f t="shared" si="3"/>
        <v>79</v>
      </c>
      <c r="V18" s="607">
        <v>1535</v>
      </c>
      <c r="W18" s="607">
        <v>2442</v>
      </c>
      <c r="X18" s="200">
        <f t="shared" si="4"/>
        <v>59.1</v>
      </c>
      <c r="Y18" s="296">
        <f>AB18-V18</f>
        <v>565</v>
      </c>
      <c r="Z18" s="296">
        <f>AC18-W18</f>
        <v>881</v>
      </c>
      <c r="AA18" s="200">
        <f t="shared" si="5"/>
        <v>55.9</v>
      </c>
      <c r="AB18" s="503">
        <v>2100</v>
      </c>
      <c r="AC18" s="607">
        <v>3323</v>
      </c>
      <c r="AD18" s="200">
        <f t="shared" si="6"/>
        <v>58.2</v>
      </c>
      <c r="AE18" s="296">
        <f>AH18-AB18</f>
        <v>384</v>
      </c>
      <c r="AF18" s="296">
        <f>AI18-AC18</f>
        <v>789</v>
      </c>
      <c r="AG18" s="200">
        <f t="shared" si="7"/>
        <v>105.5</v>
      </c>
      <c r="AH18" s="503">
        <v>2484</v>
      </c>
      <c r="AI18" s="607">
        <v>4112</v>
      </c>
      <c r="AJ18" s="200">
        <f t="shared" si="8"/>
        <v>65.5</v>
      </c>
    </row>
    <row r="19" spans="1:36" ht="22.5" customHeight="1">
      <c r="A19" s="11"/>
      <c r="B19" s="820"/>
      <c r="C19" s="822"/>
      <c r="D19" s="345" t="s">
        <v>8</v>
      </c>
      <c r="E19" s="5">
        <v>37169</v>
      </c>
      <c r="F19" s="5">
        <v>45507</v>
      </c>
      <c r="G19" s="174">
        <v>54353</v>
      </c>
      <c r="H19" s="401">
        <v>49855</v>
      </c>
      <c r="I19" s="606">
        <v>49226</v>
      </c>
      <c r="J19" s="606">
        <v>4293</v>
      </c>
      <c r="K19" s="294">
        <v>5367</v>
      </c>
      <c r="L19" s="187">
        <f t="shared" si="0"/>
        <v>25</v>
      </c>
      <c r="M19" s="294">
        <f>P19-J19</f>
        <v>3157</v>
      </c>
      <c r="N19" s="294">
        <f>Q19-K19</f>
        <v>5774</v>
      </c>
      <c r="O19" s="187">
        <f t="shared" si="1"/>
        <v>82.9</v>
      </c>
      <c r="P19" s="606">
        <v>7450</v>
      </c>
      <c r="Q19" s="606">
        <v>11141</v>
      </c>
      <c r="R19" s="187">
        <f t="shared" si="2"/>
        <v>49.5</v>
      </c>
      <c r="S19" s="294">
        <f>V19-P19</f>
        <v>5009</v>
      </c>
      <c r="T19" s="294">
        <f>W19-Q19</f>
        <v>10069</v>
      </c>
      <c r="U19" s="187">
        <f t="shared" si="3"/>
        <v>101</v>
      </c>
      <c r="V19" s="606">
        <v>12459</v>
      </c>
      <c r="W19" s="606">
        <v>21210</v>
      </c>
      <c r="X19" s="187">
        <f t="shared" si="4"/>
        <v>70.2</v>
      </c>
      <c r="Y19" s="294">
        <f>AB19-V19</f>
        <v>4134</v>
      </c>
      <c r="Z19" s="294">
        <f>AC19-W19</f>
        <v>8580</v>
      </c>
      <c r="AA19" s="187">
        <f t="shared" si="5"/>
        <v>107.5</v>
      </c>
      <c r="AB19" s="606">
        <v>16593</v>
      </c>
      <c r="AC19" s="606">
        <v>29790</v>
      </c>
      <c r="AD19" s="187">
        <f t="shared" si="6"/>
        <v>79.5</v>
      </c>
      <c r="AE19" s="294">
        <f>AH19-AB19</f>
        <v>3058</v>
      </c>
      <c r="AF19" s="294">
        <f>AI19-AC19</f>
        <v>7661</v>
      </c>
      <c r="AG19" s="187">
        <f t="shared" si="7"/>
        <v>150.5</v>
      </c>
      <c r="AH19" s="606">
        <v>19651</v>
      </c>
      <c r="AI19" s="606">
        <v>37451</v>
      </c>
      <c r="AJ19" s="187">
        <f t="shared" si="8"/>
        <v>90.6</v>
      </c>
    </row>
    <row r="20" spans="1:36" ht="22.5" customHeight="1">
      <c r="A20" s="11"/>
      <c r="B20" s="820"/>
      <c r="C20" s="822"/>
      <c r="D20" s="347" t="s">
        <v>9</v>
      </c>
      <c r="E20" s="10">
        <f t="shared" ref="E20:G20" si="29">E19/E18*1000</f>
        <v>8343.2098765432092</v>
      </c>
      <c r="F20" s="10">
        <f t="shared" si="29"/>
        <v>8651.5209125475285</v>
      </c>
      <c r="G20" s="178">
        <f t="shared" si="29"/>
        <v>8763.785875524025</v>
      </c>
      <c r="H20" s="405">
        <f>H19/H18*1000</f>
        <v>8461.4731839782762</v>
      </c>
      <c r="I20" s="514">
        <f>I19/I18*1000</f>
        <v>8057.9472908823054</v>
      </c>
      <c r="J20" s="514">
        <f t="shared" ref="J20:K20" si="30">J19/J18*1000</f>
        <v>7877.0642201834862</v>
      </c>
      <c r="K20" s="514">
        <f t="shared" si="30"/>
        <v>8559.8086124401907</v>
      </c>
      <c r="L20" s="188">
        <f t="shared" si="0"/>
        <v>8.6999999999999993</v>
      </c>
      <c r="M20" s="302">
        <f>M19/M18*1000</f>
        <v>8745.1523545706368</v>
      </c>
      <c r="N20" s="302">
        <f>N19/N18*1000</f>
        <v>8380.2612481857759</v>
      </c>
      <c r="O20" s="198">
        <f t="shared" si="1"/>
        <v>-4.2</v>
      </c>
      <c r="P20" s="514">
        <f>P19/P18*1000</f>
        <v>8222.9580573951425</v>
      </c>
      <c r="Q20" s="516">
        <f>Q19/Q18*1000</f>
        <v>8465.8054711246205</v>
      </c>
      <c r="R20" s="198">
        <f t="shared" si="2"/>
        <v>3</v>
      </c>
      <c r="S20" s="302">
        <f>S19/S18*1000</f>
        <v>7963.434022257552</v>
      </c>
      <c r="T20" s="302">
        <f>T19/T18*1000</f>
        <v>8942.2735346358786</v>
      </c>
      <c r="U20" s="198">
        <f t="shared" si="3"/>
        <v>12.3</v>
      </c>
      <c r="V20" s="514">
        <f>V19/V18*1000</f>
        <v>8116.6123778501633</v>
      </c>
      <c r="W20" s="514">
        <f t="shared" ref="W20" si="31">W19/W18*1000</f>
        <v>8685.5036855036851</v>
      </c>
      <c r="X20" s="198">
        <f t="shared" si="4"/>
        <v>7</v>
      </c>
      <c r="Y20" s="302">
        <f>Y19/Y18*1000</f>
        <v>7316.8141592920356</v>
      </c>
      <c r="Z20" s="302">
        <f>Z19/Z18*1000</f>
        <v>9738.933030646991</v>
      </c>
      <c r="AA20" s="198">
        <f t="shared" si="5"/>
        <v>33.1</v>
      </c>
      <c r="AB20" s="516">
        <f>AB19/AB18*1000</f>
        <v>7901.4285714285716</v>
      </c>
      <c r="AC20" s="514">
        <f t="shared" ref="AC20" si="32">AC19/AC18*1000</f>
        <v>8964.7908516400839</v>
      </c>
      <c r="AD20" s="198">
        <f t="shared" si="6"/>
        <v>13.5</v>
      </c>
      <c r="AE20" s="302">
        <f>AE19/AE18*1000</f>
        <v>7963.541666666667</v>
      </c>
      <c r="AF20" s="302">
        <f>AF19/AF18*1000</f>
        <v>9709.7591888466413</v>
      </c>
      <c r="AG20" s="198">
        <f t="shared" si="7"/>
        <v>21.9</v>
      </c>
      <c r="AH20" s="516">
        <f>AH19/AH18*1000</f>
        <v>7911.0305958132039</v>
      </c>
      <c r="AI20" s="514">
        <f t="shared" ref="AI20" si="33">AI19/AI18*1000</f>
        <v>9107.7334630350197</v>
      </c>
      <c r="AJ20" s="198">
        <f t="shared" si="8"/>
        <v>15.1</v>
      </c>
    </row>
    <row r="21" spans="1:36" ht="22.5" customHeight="1">
      <c r="A21" s="11"/>
      <c r="B21" s="820" t="s">
        <v>15</v>
      </c>
      <c r="C21" s="822">
        <v>7409</v>
      </c>
      <c r="D21" s="694" t="s">
        <v>569</v>
      </c>
      <c r="E21" s="9">
        <v>18816</v>
      </c>
      <c r="F21" s="9">
        <v>17770</v>
      </c>
      <c r="G21" s="177">
        <v>15350</v>
      </c>
      <c r="H21" s="520">
        <v>12619</v>
      </c>
      <c r="I21" s="607">
        <v>13053</v>
      </c>
      <c r="J21" s="607">
        <v>884</v>
      </c>
      <c r="K21" s="296">
        <v>1057</v>
      </c>
      <c r="L21" s="189">
        <f t="shared" si="0"/>
        <v>19.600000000000001</v>
      </c>
      <c r="M21" s="296">
        <f>P21-J21</f>
        <v>794</v>
      </c>
      <c r="N21" s="296">
        <f>Q21-K21</f>
        <v>708</v>
      </c>
      <c r="O21" s="200">
        <f t="shared" si="1"/>
        <v>-10.8</v>
      </c>
      <c r="P21" s="607">
        <v>1678</v>
      </c>
      <c r="Q21" s="503">
        <v>1765</v>
      </c>
      <c r="R21" s="200">
        <f t="shared" si="2"/>
        <v>5.2</v>
      </c>
      <c r="S21" s="296">
        <f>V21-P21</f>
        <v>1087</v>
      </c>
      <c r="T21" s="296">
        <f>W21-Q21</f>
        <v>1145</v>
      </c>
      <c r="U21" s="200">
        <f t="shared" si="3"/>
        <v>5.3</v>
      </c>
      <c r="V21" s="607">
        <v>2765</v>
      </c>
      <c r="W21" s="607">
        <v>2910</v>
      </c>
      <c r="X21" s="200">
        <f t="shared" si="4"/>
        <v>5.2</v>
      </c>
      <c r="Y21" s="296">
        <f>AB21-V21</f>
        <v>832</v>
      </c>
      <c r="Z21" s="296">
        <f>AC21-W21</f>
        <v>1124</v>
      </c>
      <c r="AA21" s="200">
        <f t="shared" si="5"/>
        <v>35.1</v>
      </c>
      <c r="AB21" s="503">
        <v>3597</v>
      </c>
      <c r="AC21" s="607">
        <v>4034</v>
      </c>
      <c r="AD21" s="200">
        <f t="shared" si="6"/>
        <v>12.1</v>
      </c>
      <c r="AE21" s="296">
        <f>AH21-AB21</f>
        <v>873</v>
      </c>
      <c r="AF21" s="296">
        <f>AI21-AC21</f>
        <v>1461</v>
      </c>
      <c r="AG21" s="200">
        <f t="shared" si="7"/>
        <v>67.400000000000006</v>
      </c>
      <c r="AH21" s="503">
        <v>4470</v>
      </c>
      <c r="AI21" s="607">
        <v>5495</v>
      </c>
      <c r="AJ21" s="200">
        <f t="shared" si="8"/>
        <v>22.9</v>
      </c>
    </row>
    <row r="22" spans="1:36" ht="22.5" customHeight="1">
      <c r="A22" s="11"/>
      <c r="B22" s="820"/>
      <c r="C22" s="822"/>
      <c r="D22" s="345" t="s">
        <v>8</v>
      </c>
      <c r="E22" s="5">
        <v>150685</v>
      </c>
      <c r="F22" s="5">
        <v>165044</v>
      </c>
      <c r="G22" s="174">
        <v>162198</v>
      </c>
      <c r="H22" s="401">
        <v>140630</v>
      </c>
      <c r="I22" s="606">
        <v>137198</v>
      </c>
      <c r="J22" s="606">
        <v>9345</v>
      </c>
      <c r="K22" s="294">
        <v>12317</v>
      </c>
      <c r="L22" s="187">
        <f t="shared" si="0"/>
        <v>31.8</v>
      </c>
      <c r="M22" s="294">
        <f>P22-J22</f>
        <v>9018</v>
      </c>
      <c r="N22" s="294">
        <f>Q22-K22</f>
        <v>9848</v>
      </c>
      <c r="O22" s="187">
        <f t="shared" si="1"/>
        <v>9.1999999999999993</v>
      </c>
      <c r="P22" s="606">
        <v>18363</v>
      </c>
      <c r="Q22" s="606">
        <v>22165</v>
      </c>
      <c r="R22" s="187">
        <f t="shared" si="2"/>
        <v>20.7</v>
      </c>
      <c r="S22" s="294">
        <f>V22-P22</f>
        <v>11946</v>
      </c>
      <c r="T22" s="294">
        <f>W22-Q22</f>
        <v>14584</v>
      </c>
      <c r="U22" s="187">
        <f t="shared" si="3"/>
        <v>22.1</v>
      </c>
      <c r="V22" s="606">
        <v>30309</v>
      </c>
      <c r="W22" s="606">
        <v>36749</v>
      </c>
      <c r="X22" s="187">
        <f t="shared" si="4"/>
        <v>21.2</v>
      </c>
      <c r="Y22" s="294">
        <f>AB22-V22</f>
        <v>9516</v>
      </c>
      <c r="Z22" s="294">
        <f>AC22-W22</f>
        <v>14880</v>
      </c>
      <c r="AA22" s="187">
        <f t="shared" si="5"/>
        <v>56.4</v>
      </c>
      <c r="AB22" s="606">
        <v>39825</v>
      </c>
      <c r="AC22" s="606">
        <v>51629</v>
      </c>
      <c r="AD22" s="187">
        <f t="shared" si="6"/>
        <v>29.6</v>
      </c>
      <c r="AE22" s="294">
        <f>AH22-AB22</f>
        <v>9052</v>
      </c>
      <c r="AF22" s="294">
        <f>AI22-AC22</f>
        <v>17353</v>
      </c>
      <c r="AG22" s="187">
        <f t="shared" si="7"/>
        <v>91.7</v>
      </c>
      <c r="AH22" s="606">
        <v>48877</v>
      </c>
      <c r="AI22" s="606">
        <v>68982</v>
      </c>
      <c r="AJ22" s="187">
        <f t="shared" si="8"/>
        <v>41.1</v>
      </c>
    </row>
    <row r="23" spans="1:36" ht="22.5" customHeight="1">
      <c r="A23" s="11"/>
      <c r="B23" s="820"/>
      <c r="C23" s="822"/>
      <c r="D23" s="347" t="s">
        <v>9</v>
      </c>
      <c r="E23" s="10">
        <f t="shared" ref="E23:G23" si="34">E22/E21*1000</f>
        <v>8008.3439625850342</v>
      </c>
      <c r="F23" s="10">
        <f t="shared" si="34"/>
        <v>9287.7884074282501</v>
      </c>
      <c r="G23" s="178">
        <f t="shared" si="34"/>
        <v>10566.644951140064</v>
      </c>
      <c r="H23" s="405">
        <f>H22/H21*1000</f>
        <v>11144.306204929075</v>
      </c>
      <c r="I23" s="514">
        <f>I22/I21*1000</f>
        <v>10510.84041982686</v>
      </c>
      <c r="J23" s="514">
        <f t="shared" ref="J23:K23" si="35">J22/J21*1000</f>
        <v>10571.266968325792</v>
      </c>
      <c r="K23" s="514">
        <f t="shared" si="35"/>
        <v>11652.79091769158</v>
      </c>
      <c r="L23" s="188">
        <f t="shared" si="0"/>
        <v>10.199999999999999</v>
      </c>
      <c r="M23" s="302">
        <f>M22/M21*1000</f>
        <v>11357.682619647354</v>
      </c>
      <c r="N23" s="302">
        <f>N22/N21*1000</f>
        <v>13909.604519774011</v>
      </c>
      <c r="O23" s="198">
        <f t="shared" si="1"/>
        <v>22.5</v>
      </c>
      <c r="P23" s="514">
        <f>P22/P21*1000</f>
        <v>10943.384982121574</v>
      </c>
      <c r="Q23" s="516">
        <f>Q22/Q21*1000</f>
        <v>12558.073654390935</v>
      </c>
      <c r="R23" s="198">
        <f t="shared" si="2"/>
        <v>14.8</v>
      </c>
      <c r="S23" s="302">
        <f>S22/S21*1000</f>
        <v>10989.880404783809</v>
      </c>
      <c r="T23" s="302">
        <f>T22/T21*1000</f>
        <v>12737.11790393013</v>
      </c>
      <c r="U23" s="198">
        <f t="shared" si="3"/>
        <v>15.9</v>
      </c>
      <c r="V23" s="514">
        <f>V22/V21*1000</f>
        <v>10961.663652802894</v>
      </c>
      <c r="W23" s="514">
        <f t="shared" ref="W23" si="36">W22/W21*1000</f>
        <v>12628.522336769758</v>
      </c>
      <c r="X23" s="198">
        <f t="shared" si="4"/>
        <v>15.2</v>
      </c>
      <c r="Y23" s="302">
        <f>Y22/Y21*1000</f>
        <v>11437.5</v>
      </c>
      <c r="Z23" s="302">
        <f>Z22/Z21*1000</f>
        <v>13238.434163701068</v>
      </c>
      <c r="AA23" s="198">
        <f t="shared" si="5"/>
        <v>15.7</v>
      </c>
      <c r="AB23" s="516">
        <f>AB22/AB21*1000</f>
        <v>11071.726438698915</v>
      </c>
      <c r="AC23" s="514">
        <f t="shared" ref="AC23" si="37">AC22/AC21*1000</f>
        <v>12798.463063956371</v>
      </c>
      <c r="AD23" s="198">
        <f t="shared" si="6"/>
        <v>15.6</v>
      </c>
      <c r="AE23" s="302">
        <f>AE22/AE21*1000</f>
        <v>10368.843069873998</v>
      </c>
      <c r="AF23" s="302">
        <f>AF22/AF21*1000</f>
        <v>11877.481177275838</v>
      </c>
      <c r="AG23" s="198">
        <f t="shared" si="7"/>
        <v>14.5</v>
      </c>
      <c r="AH23" s="516">
        <f>AH22/AH21*1000</f>
        <v>10934.451901565997</v>
      </c>
      <c r="AI23" s="514">
        <f t="shared" ref="AI23" si="38">AI22/AI21*1000</f>
        <v>12553.594176524113</v>
      </c>
      <c r="AJ23" s="198">
        <f t="shared" si="8"/>
        <v>14.8</v>
      </c>
    </row>
    <row r="24" spans="1:36" ht="22.5" customHeight="1">
      <c r="A24" s="11"/>
      <c r="B24" s="820" t="s">
        <v>16</v>
      </c>
      <c r="C24" s="822">
        <v>7410</v>
      </c>
      <c r="D24" s="694" t="s">
        <v>569</v>
      </c>
      <c r="E24" s="9">
        <v>65086</v>
      </c>
      <c r="F24" s="9">
        <v>67763</v>
      </c>
      <c r="G24" s="177">
        <v>67122</v>
      </c>
      <c r="H24" s="520">
        <v>66820</v>
      </c>
      <c r="I24" s="607">
        <v>69837</v>
      </c>
      <c r="J24" s="607">
        <v>6066</v>
      </c>
      <c r="K24" s="296">
        <v>5629</v>
      </c>
      <c r="L24" s="189">
        <f t="shared" si="0"/>
        <v>-7.2</v>
      </c>
      <c r="M24" s="296">
        <f>P24-J24</f>
        <v>4130</v>
      </c>
      <c r="N24" s="296">
        <f>Q24-K24</f>
        <v>5156</v>
      </c>
      <c r="O24" s="189">
        <f t="shared" si="1"/>
        <v>24.8</v>
      </c>
      <c r="P24" s="607">
        <v>10196</v>
      </c>
      <c r="Q24" s="607">
        <v>10785</v>
      </c>
      <c r="R24" s="189">
        <f t="shared" si="2"/>
        <v>5.8</v>
      </c>
      <c r="S24" s="296">
        <f>V24-P24</f>
        <v>7827</v>
      </c>
      <c r="T24" s="296">
        <f>W24-Q24</f>
        <v>7778</v>
      </c>
      <c r="U24" s="189">
        <f t="shared" si="3"/>
        <v>-0.6</v>
      </c>
      <c r="V24" s="607">
        <v>18023</v>
      </c>
      <c r="W24" s="607">
        <v>18563</v>
      </c>
      <c r="X24" s="189">
        <f t="shared" si="4"/>
        <v>3</v>
      </c>
      <c r="Y24" s="296">
        <f>AB24-V24</f>
        <v>6227</v>
      </c>
      <c r="Z24" s="296">
        <f>AC24-W24</f>
        <v>7221</v>
      </c>
      <c r="AA24" s="189">
        <f t="shared" si="5"/>
        <v>16</v>
      </c>
      <c r="AB24" s="607">
        <v>24250</v>
      </c>
      <c r="AC24" s="607">
        <v>25784</v>
      </c>
      <c r="AD24" s="189">
        <f t="shared" si="6"/>
        <v>6.3</v>
      </c>
      <c r="AE24" s="296">
        <f>AH24-AB24</f>
        <v>4026</v>
      </c>
      <c r="AF24" s="296">
        <f>AI24-AC24</f>
        <v>6141</v>
      </c>
      <c r="AG24" s="189">
        <f t="shared" si="7"/>
        <v>52.5</v>
      </c>
      <c r="AH24" s="607">
        <v>28276</v>
      </c>
      <c r="AI24" s="607">
        <v>31925</v>
      </c>
      <c r="AJ24" s="189">
        <f t="shared" si="8"/>
        <v>12.9</v>
      </c>
    </row>
    <row r="25" spans="1:36" ht="22.5" customHeight="1">
      <c r="A25" s="11"/>
      <c r="B25" s="820"/>
      <c r="C25" s="822"/>
      <c r="D25" s="345" t="s">
        <v>8</v>
      </c>
      <c r="E25" s="5">
        <v>662218</v>
      </c>
      <c r="F25" s="5">
        <v>816443</v>
      </c>
      <c r="G25" s="174">
        <v>845223</v>
      </c>
      <c r="H25" s="401">
        <v>802302</v>
      </c>
      <c r="I25" s="606">
        <v>849710</v>
      </c>
      <c r="J25" s="606">
        <v>66564</v>
      </c>
      <c r="K25" s="294">
        <v>74718</v>
      </c>
      <c r="L25" s="187">
        <f t="shared" si="0"/>
        <v>12.2</v>
      </c>
      <c r="M25" s="294">
        <f>P25-J25</f>
        <v>56368</v>
      </c>
      <c r="N25" s="294">
        <f>Q25-K25</f>
        <v>77150</v>
      </c>
      <c r="O25" s="187">
        <f t="shared" si="1"/>
        <v>36.9</v>
      </c>
      <c r="P25" s="606">
        <v>122932</v>
      </c>
      <c r="Q25" s="606">
        <v>151868</v>
      </c>
      <c r="R25" s="187">
        <f t="shared" si="2"/>
        <v>23.5</v>
      </c>
      <c r="S25" s="294">
        <f>V25-P25</f>
        <v>81333</v>
      </c>
      <c r="T25" s="294">
        <f>W25-Q25</f>
        <v>105254</v>
      </c>
      <c r="U25" s="187">
        <f t="shared" si="3"/>
        <v>29.4</v>
      </c>
      <c r="V25" s="606">
        <v>204265</v>
      </c>
      <c r="W25" s="606">
        <v>257122</v>
      </c>
      <c r="X25" s="187">
        <f t="shared" si="4"/>
        <v>25.9</v>
      </c>
      <c r="Y25" s="294">
        <f>AB25-V25</f>
        <v>73810</v>
      </c>
      <c r="Z25" s="294">
        <f>AC25-W25</f>
        <v>104753</v>
      </c>
      <c r="AA25" s="187">
        <f t="shared" si="5"/>
        <v>41.9</v>
      </c>
      <c r="AB25" s="606">
        <v>278075</v>
      </c>
      <c r="AC25" s="606">
        <v>361875</v>
      </c>
      <c r="AD25" s="187">
        <f t="shared" si="6"/>
        <v>30.1</v>
      </c>
      <c r="AE25" s="294">
        <f>AH25-AB25</f>
        <v>58383</v>
      </c>
      <c r="AF25" s="294">
        <f>AI25-AC25</f>
        <v>97486</v>
      </c>
      <c r="AG25" s="187">
        <f t="shared" si="7"/>
        <v>67</v>
      </c>
      <c r="AH25" s="606">
        <v>336458</v>
      </c>
      <c r="AI25" s="606">
        <v>459361</v>
      </c>
      <c r="AJ25" s="187">
        <f t="shared" si="8"/>
        <v>36.5</v>
      </c>
    </row>
    <row r="26" spans="1:36" ht="22.5" customHeight="1">
      <c r="A26" s="11"/>
      <c r="B26" s="820"/>
      <c r="C26" s="822"/>
      <c r="D26" s="347" t="s">
        <v>9</v>
      </c>
      <c r="E26" s="10">
        <f t="shared" ref="E26:G26" si="39">E25/E24*1000</f>
        <v>10174.507574593614</v>
      </c>
      <c r="F26" s="10">
        <f t="shared" si="39"/>
        <v>12048.507297492732</v>
      </c>
      <c r="G26" s="178">
        <f t="shared" si="39"/>
        <v>12592.339322427819</v>
      </c>
      <c r="H26" s="405">
        <f>H25/H24*1000</f>
        <v>12006.914097575576</v>
      </c>
      <c r="I26" s="514">
        <f>I25/I24*1000</f>
        <v>12167.046121683348</v>
      </c>
      <c r="J26" s="514">
        <f t="shared" ref="J26:K26" si="40">J25/J24*1000</f>
        <v>10973.293768545995</v>
      </c>
      <c r="K26" s="514">
        <f t="shared" si="40"/>
        <v>13273.760881151182</v>
      </c>
      <c r="L26" s="188">
        <f t="shared" si="0"/>
        <v>21</v>
      </c>
      <c r="M26" s="295">
        <f>M25/M24*1000</f>
        <v>13648.426150121064</v>
      </c>
      <c r="N26" s="295">
        <f>N25/N24*1000</f>
        <v>14963.149728471684</v>
      </c>
      <c r="O26" s="188">
        <f t="shared" si="1"/>
        <v>9.6</v>
      </c>
      <c r="P26" s="514">
        <f>P25/P24*1000</f>
        <v>12056.885052961945</v>
      </c>
      <c r="Q26" s="514">
        <f>Q25/Q24*1000</f>
        <v>14081.409364858599</v>
      </c>
      <c r="R26" s="188">
        <f t="shared" si="2"/>
        <v>16.8</v>
      </c>
      <c r="S26" s="295">
        <f>S25/S24*1000</f>
        <v>10391.337677270983</v>
      </c>
      <c r="T26" s="295">
        <f>T25/T24*1000</f>
        <v>13532.270506556955</v>
      </c>
      <c r="U26" s="188">
        <f t="shared" si="3"/>
        <v>30.2</v>
      </c>
      <c r="V26" s="514">
        <f>V25/V24*1000</f>
        <v>11333.573766853466</v>
      </c>
      <c r="W26" s="514">
        <f t="shared" ref="W26" si="41">W25/W24*1000</f>
        <v>13851.317136238755</v>
      </c>
      <c r="X26" s="188">
        <f t="shared" si="4"/>
        <v>22.2</v>
      </c>
      <c r="Y26" s="295">
        <f>Y25/Y24*1000</f>
        <v>11853.219849044484</v>
      </c>
      <c r="Z26" s="295">
        <f>Z25/Z24*1000</f>
        <v>14506.716521257444</v>
      </c>
      <c r="AA26" s="188">
        <f t="shared" si="5"/>
        <v>22.4</v>
      </c>
      <c r="AB26" s="514">
        <f>AB25/AB24*1000</f>
        <v>11467.01030927835</v>
      </c>
      <c r="AC26" s="514">
        <f t="shared" ref="AC26" si="42">AC25/AC24*1000</f>
        <v>14034.866583928018</v>
      </c>
      <c r="AD26" s="188">
        <f t="shared" si="6"/>
        <v>22.4</v>
      </c>
      <c r="AE26" s="295">
        <f>AE25/AE24*1000</f>
        <v>14501.490312965723</v>
      </c>
      <c r="AF26" s="295">
        <f>AF25/AF24*1000</f>
        <v>15874.613255170168</v>
      </c>
      <c r="AG26" s="188">
        <f t="shared" si="7"/>
        <v>9.5</v>
      </c>
      <c r="AH26" s="514">
        <f>AH25/AH24*1000</f>
        <v>11899.066346017824</v>
      </c>
      <c r="AI26" s="514">
        <f t="shared" ref="AI26" si="43">AI25/AI24*1000</f>
        <v>14388.754894283476</v>
      </c>
      <c r="AJ26" s="188">
        <f t="shared" si="8"/>
        <v>20.9</v>
      </c>
    </row>
    <row r="27" spans="1:36" ht="22.5" customHeight="1">
      <c r="A27" s="11"/>
      <c r="B27" s="820" t="s">
        <v>34</v>
      </c>
      <c r="C27" s="822">
        <v>7411</v>
      </c>
      <c r="D27" s="694" t="s">
        <v>569</v>
      </c>
      <c r="E27" s="9">
        <v>10743</v>
      </c>
      <c r="F27" s="9">
        <v>13555</v>
      </c>
      <c r="G27" s="177">
        <v>15577</v>
      </c>
      <c r="H27" s="520">
        <v>16093</v>
      </c>
      <c r="I27" s="607">
        <v>19523</v>
      </c>
      <c r="J27" s="607">
        <v>1611</v>
      </c>
      <c r="K27" s="296">
        <v>1534</v>
      </c>
      <c r="L27" s="189">
        <f t="shared" si="0"/>
        <v>-4.8</v>
      </c>
      <c r="M27" s="296">
        <f>P27-J27</f>
        <v>1161</v>
      </c>
      <c r="N27" s="296">
        <f>Q27-K27</f>
        <v>1736</v>
      </c>
      <c r="O27" s="189">
        <f t="shared" si="1"/>
        <v>49.5</v>
      </c>
      <c r="P27" s="607">
        <v>2772</v>
      </c>
      <c r="Q27" s="607">
        <v>3270</v>
      </c>
      <c r="R27" s="189">
        <f t="shared" si="2"/>
        <v>18</v>
      </c>
      <c r="S27" s="296">
        <f>V27-P27</f>
        <v>1928</v>
      </c>
      <c r="T27" s="296">
        <f>W27-Q27</f>
        <v>1857</v>
      </c>
      <c r="U27" s="189">
        <f t="shared" si="3"/>
        <v>-3.7</v>
      </c>
      <c r="V27" s="607">
        <v>4700</v>
      </c>
      <c r="W27" s="607">
        <v>5127</v>
      </c>
      <c r="X27" s="189">
        <f t="shared" si="4"/>
        <v>9.1</v>
      </c>
      <c r="Y27" s="296">
        <f>AB27-V27</f>
        <v>1563</v>
      </c>
      <c r="Z27" s="296">
        <f>AC27-W27</f>
        <v>2515</v>
      </c>
      <c r="AA27" s="189">
        <f t="shared" si="5"/>
        <v>60.9</v>
      </c>
      <c r="AB27" s="607">
        <v>6263</v>
      </c>
      <c r="AC27" s="607">
        <v>7642</v>
      </c>
      <c r="AD27" s="189">
        <f t="shared" si="6"/>
        <v>22</v>
      </c>
      <c r="AE27" s="296">
        <f>AH27-AB27</f>
        <v>1508</v>
      </c>
      <c r="AF27" s="296">
        <f>AI27-AC27</f>
        <v>2480</v>
      </c>
      <c r="AG27" s="189">
        <f t="shared" si="7"/>
        <v>64.5</v>
      </c>
      <c r="AH27" s="607">
        <v>7771</v>
      </c>
      <c r="AI27" s="607">
        <v>10122</v>
      </c>
      <c r="AJ27" s="189">
        <f t="shared" si="8"/>
        <v>30.3</v>
      </c>
    </row>
    <row r="28" spans="1:36" ht="22.5" customHeight="1">
      <c r="A28" s="11"/>
      <c r="B28" s="820"/>
      <c r="C28" s="822"/>
      <c r="D28" s="345" t="s">
        <v>8</v>
      </c>
      <c r="E28" s="5">
        <v>90126</v>
      </c>
      <c r="F28" s="5">
        <v>114072</v>
      </c>
      <c r="G28" s="174">
        <v>133041</v>
      </c>
      <c r="H28" s="401">
        <v>137081</v>
      </c>
      <c r="I28" s="606">
        <v>149464</v>
      </c>
      <c r="J28" s="606">
        <v>12202</v>
      </c>
      <c r="K28" s="294">
        <v>12386</v>
      </c>
      <c r="L28" s="187">
        <f t="shared" si="0"/>
        <v>1.5</v>
      </c>
      <c r="M28" s="294">
        <f>P28-J28</f>
        <v>9052</v>
      </c>
      <c r="N28" s="294">
        <f>Q28-K28</f>
        <v>14623</v>
      </c>
      <c r="O28" s="187">
        <f t="shared" si="1"/>
        <v>61.5</v>
      </c>
      <c r="P28" s="606">
        <v>21254</v>
      </c>
      <c r="Q28" s="606">
        <v>27009</v>
      </c>
      <c r="R28" s="187">
        <f t="shared" si="2"/>
        <v>27.1</v>
      </c>
      <c r="S28" s="294">
        <f>V28-P28</f>
        <v>14839</v>
      </c>
      <c r="T28" s="294">
        <f>W28-Q28</f>
        <v>16775</v>
      </c>
      <c r="U28" s="187">
        <f t="shared" si="3"/>
        <v>13</v>
      </c>
      <c r="V28" s="606">
        <v>36093</v>
      </c>
      <c r="W28" s="606">
        <v>43784</v>
      </c>
      <c r="X28" s="187">
        <f t="shared" si="4"/>
        <v>21.3</v>
      </c>
      <c r="Y28" s="294">
        <f>AB28-V28</f>
        <v>11678</v>
      </c>
      <c r="Z28" s="294">
        <f>AC28-W28</f>
        <v>22780</v>
      </c>
      <c r="AA28" s="187">
        <f t="shared" si="5"/>
        <v>95.1</v>
      </c>
      <c r="AB28" s="606">
        <v>47771</v>
      </c>
      <c r="AC28" s="606">
        <v>66564</v>
      </c>
      <c r="AD28" s="187">
        <f t="shared" si="6"/>
        <v>39.299999999999997</v>
      </c>
      <c r="AE28" s="294">
        <f>AH28-AB28</f>
        <v>11505</v>
      </c>
      <c r="AF28" s="294">
        <f>AI28-AC28</f>
        <v>23258</v>
      </c>
      <c r="AG28" s="187">
        <f t="shared" si="7"/>
        <v>102.2</v>
      </c>
      <c r="AH28" s="606">
        <v>59276</v>
      </c>
      <c r="AI28" s="606">
        <v>89822</v>
      </c>
      <c r="AJ28" s="187">
        <f t="shared" si="8"/>
        <v>51.5</v>
      </c>
    </row>
    <row r="29" spans="1:36" ht="22.5" customHeight="1">
      <c r="A29" s="11"/>
      <c r="B29" s="820"/>
      <c r="C29" s="822"/>
      <c r="D29" s="347" t="s">
        <v>9</v>
      </c>
      <c r="E29" s="10">
        <f t="shared" ref="E29:G29" si="44">E28/E27*1000</f>
        <v>8389.2767383412447</v>
      </c>
      <c r="F29" s="10">
        <f t="shared" si="44"/>
        <v>8415.4924382146801</v>
      </c>
      <c r="G29" s="178">
        <f t="shared" si="44"/>
        <v>8540.8615266097459</v>
      </c>
      <c r="H29" s="405">
        <f>H28/H27*1000</f>
        <v>8518.0513266637663</v>
      </c>
      <c r="I29" s="514">
        <f>I28/I27*1000</f>
        <v>7655.7906059519537</v>
      </c>
      <c r="J29" s="514">
        <f t="shared" ref="J29:K29" si="45">J28/J27*1000</f>
        <v>7574.1775294847921</v>
      </c>
      <c r="K29" s="514">
        <f t="shared" si="45"/>
        <v>8074.315514993481</v>
      </c>
      <c r="L29" s="188">
        <f t="shared" si="0"/>
        <v>6.6</v>
      </c>
      <c r="M29" s="295">
        <f>M28/M27*1000</f>
        <v>7796.7269595176567</v>
      </c>
      <c r="N29" s="295">
        <f>N28/N27*1000</f>
        <v>8423.3870967741932</v>
      </c>
      <c r="O29" s="188">
        <f t="shared" si="1"/>
        <v>8</v>
      </c>
      <c r="P29" s="514">
        <f>P28/P27*1000</f>
        <v>7667.3881673881669</v>
      </c>
      <c r="Q29" s="514">
        <f>Q28/Q27*1000</f>
        <v>8259.6330275229357</v>
      </c>
      <c r="R29" s="188">
        <f t="shared" si="2"/>
        <v>7.7</v>
      </c>
      <c r="S29" s="295">
        <f>S28/S27*1000</f>
        <v>7696.5767634854765</v>
      </c>
      <c r="T29" s="295">
        <f>T28/T27*1000</f>
        <v>9033.3871836295093</v>
      </c>
      <c r="U29" s="188">
        <f t="shared" si="3"/>
        <v>17.399999999999999</v>
      </c>
      <c r="V29" s="514">
        <f>V28/V27*1000</f>
        <v>7679.3617021276596</v>
      </c>
      <c r="W29" s="514">
        <f t="shared" ref="W29" si="46">W28/W27*1000</f>
        <v>8539.8868734152529</v>
      </c>
      <c r="X29" s="188">
        <f t="shared" si="4"/>
        <v>11.2</v>
      </c>
      <c r="Y29" s="295">
        <f>Y28/Y27*1000</f>
        <v>7471.5291106845807</v>
      </c>
      <c r="Z29" s="295">
        <f>Z28/Z27*1000</f>
        <v>9057.6540755467195</v>
      </c>
      <c r="AA29" s="188">
        <f t="shared" si="5"/>
        <v>21.2</v>
      </c>
      <c r="AB29" s="514">
        <f>AB28/AB27*1000</f>
        <v>7627.4948107935488</v>
      </c>
      <c r="AC29" s="514">
        <f t="shared" ref="AC29" si="47">AC28/AC27*1000</f>
        <v>8710.285265637267</v>
      </c>
      <c r="AD29" s="188">
        <f t="shared" si="6"/>
        <v>14.2</v>
      </c>
      <c r="AE29" s="295">
        <f>AE28/AE27*1000</f>
        <v>7629.3103448275861</v>
      </c>
      <c r="AF29" s="295">
        <f>AF28/AF27*1000</f>
        <v>9378.2258064516136</v>
      </c>
      <c r="AG29" s="188">
        <f t="shared" si="7"/>
        <v>22.9</v>
      </c>
      <c r="AH29" s="514">
        <f>AH28/AH27*1000</f>
        <v>7627.8471239222754</v>
      </c>
      <c r="AI29" s="514">
        <f t="shared" ref="AI29" si="48">AI28/AI27*1000</f>
        <v>8873.9379569255088</v>
      </c>
      <c r="AJ29" s="188">
        <f t="shared" si="8"/>
        <v>16.3</v>
      </c>
    </row>
    <row r="30" spans="1:36" ht="22.5" customHeight="1">
      <c r="A30" s="11"/>
      <c r="B30" s="820" t="s">
        <v>18</v>
      </c>
      <c r="C30" s="822"/>
      <c r="D30" s="694" t="s">
        <v>569</v>
      </c>
      <c r="E30" s="9">
        <f t="shared" ref="E30:F31" si="49">E33-SUM(E6+E9+E12+E15+E18+E21+E24+E27)</f>
        <v>203828</v>
      </c>
      <c r="F30" s="9">
        <f t="shared" si="49"/>
        <v>140704</v>
      </c>
      <c r="G30" s="177">
        <f t="shared" ref="G30:G31" si="50">G33-SUM(G6+G9+G12+G15+G18+G21+G24+G27)</f>
        <v>125031</v>
      </c>
      <c r="H30" s="520">
        <f>H33-SUM(H6+H9+H12+H15+H18+H21+H24+H27)</f>
        <v>144199</v>
      </c>
      <c r="I30" s="607">
        <f>I33-SUM(I6+I9+I12+I15+I18+I21+I24+I27)</f>
        <v>132083</v>
      </c>
      <c r="J30" s="607">
        <f t="shared" ref="J30:K30" si="51">J33-SUM(J6+J9+J12+J15+J18+J21+J24+J27)</f>
        <v>13239</v>
      </c>
      <c r="K30" s="607">
        <f t="shared" si="51"/>
        <v>19358</v>
      </c>
      <c r="L30" s="189">
        <f t="shared" si="0"/>
        <v>46.2</v>
      </c>
      <c r="M30" s="296">
        <f>M33-SUM(M6+M9+M12+M15+M18+M21+M24+M27)</f>
        <v>10714</v>
      </c>
      <c r="N30" s="296">
        <f>N33-SUM(N6+N9+N12+N15+N18+N21+N24+N27)</f>
        <v>15813</v>
      </c>
      <c r="O30" s="189">
        <f t="shared" si="1"/>
        <v>47.6</v>
      </c>
      <c r="P30" s="607">
        <f>P33-SUM(P6+P9+P12+P15+P18+P21+P24+P27)</f>
        <v>23953</v>
      </c>
      <c r="Q30" s="607">
        <f>Q33-SUM(Q6+Q9+Q12+Q15+Q18+Q21+Q24+Q27)</f>
        <v>35171</v>
      </c>
      <c r="R30" s="189">
        <f t="shared" si="2"/>
        <v>46.8</v>
      </c>
      <c r="S30" s="296">
        <f>S33-SUM(S6+S9+S12+S15+S18+S21+S24+S27)</f>
        <v>16521</v>
      </c>
      <c r="T30" s="296">
        <f>T33-SUM(T6+T9+T12+T15+T18+T21+T24+T27)</f>
        <v>12668</v>
      </c>
      <c r="U30" s="189">
        <f t="shared" si="3"/>
        <v>-23.3</v>
      </c>
      <c r="V30" s="607">
        <f>V33-SUM(V6+V9+V12+V15+V18+V21+V24+V27)</f>
        <v>40474</v>
      </c>
      <c r="W30" s="607">
        <f>W33-SUM(W6+W9+W12+W15+W18+W21+W24+W27)</f>
        <v>47839</v>
      </c>
      <c r="X30" s="189">
        <f t="shared" si="4"/>
        <v>18.2</v>
      </c>
      <c r="Y30" s="296">
        <f>Y33-SUM(Y6+Y9+Y12+Y15+Y18+Y21+Y24+Y27)</f>
        <v>10012</v>
      </c>
      <c r="Z30" s="296">
        <f>Z33-SUM(Z6+Z9+Z12+Z15+Z18+Z21+Z24+Z27)</f>
        <v>17433</v>
      </c>
      <c r="AA30" s="189">
        <f t="shared" si="5"/>
        <v>74.099999999999994</v>
      </c>
      <c r="AB30" s="607">
        <f>AB33-SUM(AB6+AB9+AB12+AB15+AB18+AB21+AB24+AB27)</f>
        <v>50486</v>
      </c>
      <c r="AC30" s="607">
        <f>AC33-SUM(AC6+AC9+AC12+AC15+AC18+AC21+AC24+AC27)</f>
        <v>65272</v>
      </c>
      <c r="AD30" s="189">
        <f t="shared" si="6"/>
        <v>29.3</v>
      </c>
      <c r="AE30" s="296">
        <f>AE33-SUM(AE6+AE9+AE12+AE15+AE18+AE21+AE24+AE27)</f>
        <v>9302</v>
      </c>
      <c r="AF30" s="296">
        <f>AF33-SUM(AF6+AF9+AF12+AF15+AF18+AF21+AF24+AF27)</f>
        <v>10951</v>
      </c>
      <c r="AG30" s="189">
        <f t="shared" si="7"/>
        <v>17.7</v>
      </c>
      <c r="AH30" s="607">
        <f>AH33-SUM(AH6+AH9+AH12+AH15+AH18+AH21+AH24+AH27)</f>
        <v>59788</v>
      </c>
      <c r="AI30" s="607">
        <f>AI33-SUM(AI6+AI9+AI12+AI15+AI18+AI21+AI24+AI27)</f>
        <v>76223</v>
      </c>
      <c r="AJ30" s="189">
        <f t="shared" si="8"/>
        <v>27.5</v>
      </c>
    </row>
    <row r="31" spans="1:36" ht="22.5" customHeight="1">
      <c r="A31" s="11"/>
      <c r="B31" s="820"/>
      <c r="C31" s="822"/>
      <c r="D31" s="345" t="s">
        <v>8</v>
      </c>
      <c r="E31" s="5">
        <f t="shared" si="49"/>
        <v>972112</v>
      </c>
      <c r="F31" s="5">
        <f t="shared" si="49"/>
        <v>792224</v>
      </c>
      <c r="G31" s="174">
        <f t="shared" si="50"/>
        <v>695614</v>
      </c>
      <c r="H31" s="401">
        <f>H34-SUM(H7+H10+H13+H16+H19+H22+H25+H28)</f>
        <v>761933</v>
      </c>
      <c r="I31" s="606">
        <f>I34-SUM(I7+I10+I13+I16+I19+I22+I25+I28)</f>
        <v>692400</v>
      </c>
      <c r="J31" s="606">
        <f t="shared" ref="J31:K31" si="52">J34-SUM(J7+J10+J13+J16+J19+J22+J25+J28)</f>
        <v>63910</v>
      </c>
      <c r="K31" s="606">
        <f t="shared" si="52"/>
        <v>139507</v>
      </c>
      <c r="L31" s="187">
        <f t="shared" si="0"/>
        <v>118.3</v>
      </c>
      <c r="M31" s="294">
        <f>M34-SUM(M7+M10+M13+M16+M19+M22+M25+M28)</f>
        <v>51745</v>
      </c>
      <c r="N31" s="294">
        <f>N34-SUM(N7+N10+N13+N16+N19+N22+N25+N28)</f>
        <v>114751</v>
      </c>
      <c r="O31" s="187">
        <f t="shared" si="1"/>
        <v>121.8</v>
      </c>
      <c r="P31" s="606">
        <f>P34-SUM(P7+P10+P13+P16+P19+P22+P25+P28)</f>
        <v>115655</v>
      </c>
      <c r="Q31" s="606">
        <f>Q34-SUM(Q7+Q10+Q13+Q16+Q19+Q22+Q25+Q28)</f>
        <v>254258</v>
      </c>
      <c r="R31" s="187">
        <f t="shared" si="2"/>
        <v>119.8</v>
      </c>
      <c r="S31" s="294">
        <f>S34-SUM(S7+S10+S13+S16+S19+S22+S25+S28)</f>
        <v>79492</v>
      </c>
      <c r="T31" s="294">
        <f>T34-SUM(T7+T10+T13+T16+T19+T22+T25+T28)</f>
        <v>88367</v>
      </c>
      <c r="U31" s="187">
        <f t="shared" si="3"/>
        <v>11.2</v>
      </c>
      <c r="V31" s="606">
        <f>V34-SUM(V7+V10+V13+V16+V19+V22+V25+V28)</f>
        <v>195147</v>
      </c>
      <c r="W31" s="606">
        <f>W34-SUM(W7+W10+W13+W16+W19+W22+W25+W28)</f>
        <v>342625</v>
      </c>
      <c r="X31" s="187">
        <f t="shared" si="4"/>
        <v>75.599999999999994</v>
      </c>
      <c r="Y31" s="294">
        <f>Y34-SUM(Y7+Y10+Y13+Y16+Y19+Y22+Y25+Y28)</f>
        <v>40544</v>
      </c>
      <c r="Z31" s="294">
        <f>Z34-SUM(Z7+Z10+Z13+Z16+Z19+Z22+Z25+Z28)</f>
        <v>143984</v>
      </c>
      <c r="AA31" s="187">
        <f t="shared" si="5"/>
        <v>255.1</v>
      </c>
      <c r="AB31" s="606">
        <f>AB34-SUM(AB7+AB10+AB13+AB16+AB19+AB22+AB25+AB28)</f>
        <v>235691</v>
      </c>
      <c r="AC31" s="606">
        <f>AC34-SUM(AC7+AC10+AC13+AC16+AC19+AC22+AC25+AC28)</f>
        <v>486609</v>
      </c>
      <c r="AD31" s="187">
        <f t="shared" si="6"/>
        <v>106.5</v>
      </c>
      <c r="AE31" s="294">
        <f>AE34-SUM(AE7+AE10+AE13+AE16+AE19+AE22+AE25+AE28)</f>
        <v>52763</v>
      </c>
      <c r="AF31" s="294">
        <f>AF34-SUM(AF7+AF10+AF13+AF16+AF19+AF22+AF25+AF28)</f>
        <v>83535</v>
      </c>
      <c r="AG31" s="187">
        <f t="shared" si="7"/>
        <v>58.3</v>
      </c>
      <c r="AH31" s="606">
        <f>AH34-SUM(AH7+AH10+AH13+AH16+AH19+AH22+AH25+AH28)</f>
        <v>288454</v>
      </c>
      <c r="AI31" s="606">
        <f>AI34-SUM(AI7+AI10+AI13+AI16+AI19+AI22+AI25+AI28)</f>
        <v>570144</v>
      </c>
      <c r="AJ31" s="187">
        <f t="shared" si="8"/>
        <v>97.7</v>
      </c>
    </row>
    <row r="32" spans="1:36" ht="22.5" customHeight="1">
      <c r="A32" s="11"/>
      <c r="B32" s="820"/>
      <c r="C32" s="822"/>
      <c r="D32" s="347" t="s">
        <v>9</v>
      </c>
      <c r="E32" s="10">
        <f t="shared" ref="E32:G32" si="53">E31/E30*1000</f>
        <v>4769.276056282748</v>
      </c>
      <c r="F32" s="10">
        <f t="shared" si="53"/>
        <v>5630.4298385262682</v>
      </c>
      <c r="G32" s="178">
        <f t="shared" si="53"/>
        <v>5563.532244003487</v>
      </c>
      <c r="H32" s="405">
        <f>H31/H30*1000</f>
        <v>5283.8993335598725</v>
      </c>
      <c r="I32" s="514">
        <f>I31/I30*1000</f>
        <v>5242.1583398317725</v>
      </c>
      <c r="J32" s="514">
        <f t="shared" ref="J32:K32" si="54">J31/J30*1000</f>
        <v>4827.403882468464</v>
      </c>
      <c r="K32" s="514">
        <f t="shared" si="54"/>
        <v>7206.6845748527739</v>
      </c>
      <c r="L32" s="188">
        <f t="shared" si="0"/>
        <v>49.3</v>
      </c>
      <c r="M32" s="295">
        <f>M31/M30*1000</f>
        <v>4829.6621243233149</v>
      </c>
      <c r="N32" s="295">
        <f>N31/N30*1000</f>
        <v>7256.7507746790616</v>
      </c>
      <c r="O32" s="188">
        <f t="shared" si="1"/>
        <v>50.3</v>
      </c>
      <c r="P32" s="514">
        <f>P31/P30*1000</f>
        <v>4828.4139773723537</v>
      </c>
      <c r="Q32" s="514">
        <f>Q31/Q30*1000</f>
        <v>7229.1945068380201</v>
      </c>
      <c r="R32" s="188">
        <f t="shared" si="2"/>
        <v>49.7</v>
      </c>
      <c r="S32" s="295">
        <f>S31/S30*1000</f>
        <v>4811.5731493251014</v>
      </c>
      <c r="T32" s="295">
        <f>T31/T30*1000</f>
        <v>6975.6078307546568</v>
      </c>
      <c r="U32" s="188">
        <f t="shared" si="3"/>
        <v>45</v>
      </c>
      <c r="V32" s="514">
        <f>V31/V30*1000</f>
        <v>4821.539753916094</v>
      </c>
      <c r="W32" s="514">
        <f t="shared" ref="W32" si="55">W31/W30*1000</f>
        <v>7162.0435209766092</v>
      </c>
      <c r="X32" s="188">
        <f t="shared" si="4"/>
        <v>48.5</v>
      </c>
      <c r="Y32" s="295">
        <f>Y31/Y30*1000</f>
        <v>4049.5405513383939</v>
      </c>
      <c r="Z32" s="295">
        <f>Z31/Z30*1000</f>
        <v>8259.2783800837497</v>
      </c>
      <c r="AA32" s="188">
        <f t="shared" si="5"/>
        <v>104</v>
      </c>
      <c r="AB32" s="514">
        <f>AB31/AB30*1000</f>
        <v>4668.4427366002456</v>
      </c>
      <c r="AC32" s="514">
        <f t="shared" ref="AC32" si="56">AC31/AC30*1000</f>
        <v>7455.0955999509742</v>
      </c>
      <c r="AD32" s="188">
        <f t="shared" si="6"/>
        <v>59.7</v>
      </c>
      <c r="AE32" s="295">
        <f>AE31/AE30*1000</f>
        <v>5672.22102773597</v>
      </c>
      <c r="AF32" s="295">
        <f>AF31/AF30*1000</f>
        <v>7628.0704958451288</v>
      </c>
      <c r="AG32" s="188">
        <f t="shared" si="7"/>
        <v>34.5</v>
      </c>
      <c r="AH32" s="514">
        <f>AH31/AH30*1000</f>
        <v>4824.6136348431128</v>
      </c>
      <c r="AI32" s="514">
        <f t="shared" ref="AI32" si="57">AI31/AI30*1000</f>
        <v>7479.9469976253886</v>
      </c>
      <c r="AJ32" s="188">
        <f t="shared" si="8"/>
        <v>55</v>
      </c>
    </row>
    <row r="33" spans="1:36" ht="22.5" customHeight="1">
      <c r="A33" s="11"/>
      <c r="B33" s="824" t="s">
        <v>19</v>
      </c>
      <c r="C33" s="825"/>
      <c r="D33" s="12" t="s">
        <v>569</v>
      </c>
      <c r="E33" s="13">
        <v>986611</v>
      </c>
      <c r="F33" s="13">
        <v>908736</v>
      </c>
      <c r="G33" s="179">
        <v>855547</v>
      </c>
      <c r="H33" s="406">
        <v>851617</v>
      </c>
      <c r="I33" s="521">
        <v>815763</v>
      </c>
      <c r="J33" s="521">
        <v>73215</v>
      </c>
      <c r="K33" s="298">
        <v>77753</v>
      </c>
      <c r="L33" s="191">
        <f t="shared" si="0"/>
        <v>6.2</v>
      </c>
      <c r="M33" s="298">
        <f>P33-J33</f>
        <v>67315</v>
      </c>
      <c r="N33" s="298">
        <f>Q33-K33</f>
        <v>74572</v>
      </c>
      <c r="O33" s="191">
        <f t="shared" si="1"/>
        <v>10.8</v>
      </c>
      <c r="P33" s="521">
        <v>140530</v>
      </c>
      <c r="Q33" s="521">
        <v>152325</v>
      </c>
      <c r="R33" s="191">
        <f t="shared" si="2"/>
        <v>8.4</v>
      </c>
      <c r="S33" s="298">
        <f>V33-P33</f>
        <v>82766</v>
      </c>
      <c r="T33" s="298">
        <f>W33-Q33</f>
        <v>86233</v>
      </c>
      <c r="U33" s="191">
        <f t="shared" si="3"/>
        <v>4.2</v>
      </c>
      <c r="V33" s="521">
        <v>223296</v>
      </c>
      <c r="W33" s="521">
        <v>238558</v>
      </c>
      <c r="X33" s="191">
        <f t="shared" si="4"/>
        <v>6.8</v>
      </c>
      <c r="Y33" s="298">
        <f>AB33-V33</f>
        <v>69723</v>
      </c>
      <c r="Z33" s="298">
        <f>AC33-W33</f>
        <v>86002</v>
      </c>
      <c r="AA33" s="191">
        <f t="shared" si="5"/>
        <v>23.3</v>
      </c>
      <c r="AB33" s="521">
        <v>293019</v>
      </c>
      <c r="AC33" s="521">
        <v>324560</v>
      </c>
      <c r="AD33" s="191">
        <f t="shared" si="6"/>
        <v>10.8</v>
      </c>
      <c r="AE33" s="298">
        <f>AH33-AB33</f>
        <v>58191</v>
      </c>
      <c r="AF33" s="298">
        <f>AI33-AC33</f>
        <v>78702</v>
      </c>
      <c r="AG33" s="191">
        <f t="shared" si="7"/>
        <v>35.200000000000003</v>
      </c>
      <c r="AH33" s="521">
        <v>351210</v>
      </c>
      <c r="AI33" s="521">
        <v>403262</v>
      </c>
      <c r="AJ33" s="191">
        <f t="shared" si="8"/>
        <v>14.8</v>
      </c>
    </row>
    <row r="34" spans="1:36" ht="22.5" customHeight="1">
      <c r="A34" s="11"/>
      <c r="B34" s="824"/>
      <c r="C34" s="825"/>
      <c r="D34" s="346" t="s">
        <v>298</v>
      </c>
      <c r="E34" s="15">
        <v>5098171</v>
      </c>
      <c r="F34" s="15">
        <v>5680329</v>
      </c>
      <c r="G34" s="180">
        <v>5791947</v>
      </c>
      <c r="H34" s="407">
        <v>5318770</v>
      </c>
      <c r="I34" s="522">
        <v>5079186</v>
      </c>
      <c r="J34" s="522">
        <v>435137</v>
      </c>
      <c r="K34" s="299">
        <v>592003</v>
      </c>
      <c r="L34" s="192">
        <f t="shared" si="0"/>
        <v>36</v>
      </c>
      <c r="M34" s="299">
        <f>P34-J34</f>
        <v>401948</v>
      </c>
      <c r="N34" s="299">
        <f>Q34-K34</f>
        <v>592625</v>
      </c>
      <c r="O34" s="192">
        <f t="shared" si="1"/>
        <v>47.4</v>
      </c>
      <c r="P34" s="522">
        <v>837085</v>
      </c>
      <c r="Q34" s="522">
        <v>1184628</v>
      </c>
      <c r="R34" s="192">
        <f t="shared" si="2"/>
        <v>41.5</v>
      </c>
      <c r="S34" s="299">
        <f>V34-P34</f>
        <v>478485</v>
      </c>
      <c r="T34" s="299">
        <f>W34-Q34</f>
        <v>709021</v>
      </c>
      <c r="U34" s="192">
        <f t="shared" si="3"/>
        <v>48.2</v>
      </c>
      <c r="V34" s="522">
        <v>1315570</v>
      </c>
      <c r="W34" s="522">
        <v>1893649</v>
      </c>
      <c r="X34" s="192">
        <f t="shared" si="4"/>
        <v>43.9</v>
      </c>
      <c r="Y34" s="299">
        <f>AB34-V34</f>
        <v>389530</v>
      </c>
      <c r="Z34" s="299">
        <f>AC34-W34</f>
        <v>758626</v>
      </c>
      <c r="AA34" s="192">
        <f t="shared" si="5"/>
        <v>94.8</v>
      </c>
      <c r="AB34" s="522">
        <v>1705100</v>
      </c>
      <c r="AC34" s="522">
        <v>2652275</v>
      </c>
      <c r="AD34" s="192">
        <f t="shared" si="6"/>
        <v>55.5</v>
      </c>
      <c r="AE34" s="299">
        <f>AH34-AB34</f>
        <v>340029</v>
      </c>
      <c r="AF34" s="299">
        <f>AI34-AC34</f>
        <v>717279</v>
      </c>
      <c r="AG34" s="192">
        <f t="shared" si="7"/>
        <v>110.9</v>
      </c>
      <c r="AH34" s="522">
        <v>2045129</v>
      </c>
      <c r="AI34" s="522">
        <v>3369554</v>
      </c>
      <c r="AJ34" s="192">
        <f t="shared" si="8"/>
        <v>64.8</v>
      </c>
    </row>
    <row r="35" spans="1:36" ht="22.5" customHeight="1">
      <c r="A35" s="11"/>
      <c r="B35" s="824"/>
      <c r="C35" s="825"/>
      <c r="D35" s="348" t="s">
        <v>299</v>
      </c>
      <c r="E35" s="17">
        <f t="shared" ref="E35:G35" si="58">E34/E33*1000</f>
        <v>5167.3567393836074</v>
      </c>
      <c r="F35" s="17">
        <f t="shared" si="58"/>
        <v>6250.8022131840271</v>
      </c>
      <c r="G35" s="181">
        <f t="shared" si="58"/>
        <v>6769.8758805769876</v>
      </c>
      <c r="H35" s="408">
        <f>H34/H33*1000</f>
        <v>6245.4953341701721</v>
      </c>
      <c r="I35" s="515">
        <f>I34/I33*1000</f>
        <v>6226.301021252496</v>
      </c>
      <c r="J35" s="515">
        <f t="shared" ref="J35:K35" si="59">J34/J33*1000</f>
        <v>5943.2766509595031</v>
      </c>
      <c r="K35" s="515">
        <f t="shared" si="59"/>
        <v>7613.8927115352462</v>
      </c>
      <c r="L35" s="193">
        <f t="shared" si="0"/>
        <v>28.1</v>
      </c>
      <c r="M35" s="300">
        <f>M34/M33*1000</f>
        <v>5971.1505607962563</v>
      </c>
      <c r="N35" s="300">
        <f>N34/N33*1000</f>
        <v>7947.0176473743495</v>
      </c>
      <c r="O35" s="193">
        <f t="shared" si="1"/>
        <v>33.1</v>
      </c>
      <c r="P35" s="515">
        <f>P34/P33*1000</f>
        <v>5956.6284779050739</v>
      </c>
      <c r="Q35" s="515">
        <f>Q34/Q33*1000</f>
        <v>7776.9768586903001</v>
      </c>
      <c r="R35" s="193">
        <f t="shared" si="2"/>
        <v>30.6</v>
      </c>
      <c r="S35" s="300">
        <f>S34/S33*1000</f>
        <v>5781.1782616050068</v>
      </c>
      <c r="T35" s="300">
        <f>T34/T33*1000</f>
        <v>8222.1539317894549</v>
      </c>
      <c r="U35" s="193">
        <f t="shared" si="3"/>
        <v>42.2</v>
      </c>
      <c r="V35" s="515">
        <f>V34/V33*1000</f>
        <v>5891.5968042419036</v>
      </c>
      <c r="W35" s="515">
        <f t="shared" ref="W35" si="60">W34/W33*1000</f>
        <v>7937.8977020263419</v>
      </c>
      <c r="X35" s="193">
        <f t="shared" si="4"/>
        <v>34.700000000000003</v>
      </c>
      <c r="Y35" s="300">
        <f>Y34/Y33*1000</f>
        <v>5586.8221390358985</v>
      </c>
      <c r="Z35" s="300">
        <f>Z34/Z33*1000</f>
        <v>8821.0274179670232</v>
      </c>
      <c r="AA35" s="193">
        <f t="shared" si="5"/>
        <v>57.9</v>
      </c>
      <c r="AB35" s="515">
        <f>AB34/AB33*1000</f>
        <v>5819.0765786518959</v>
      </c>
      <c r="AC35" s="515">
        <f t="shared" ref="AC35" si="61">AC34/AC33*1000</f>
        <v>8171.9096623120531</v>
      </c>
      <c r="AD35" s="193">
        <f t="shared" si="6"/>
        <v>40.4</v>
      </c>
      <c r="AE35" s="300">
        <f>AE34/AE33*1000</f>
        <v>5843.3262875702421</v>
      </c>
      <c r="AF35" s="300">
        <f>AF34/AF33*1000</f>
        <v>9113.8598764961498</v>
      </c>
      <c r="AG35" s="193">
        <f t="shared" si="7"/>
        <v>56</v>
      </c>
      <c r="AH35" s="515">
        <f>AH34/AH33*1000</f>
        <v>5823.0944449189947</v>
      </c>
      <c r="AI35" s="515">
        <f t="shared" ref="AI35" si="62">AI34/AI33*1000</f>
        <v>8355.7439084267789</v>
      </c>
      <c r="AJ35" s="193">
        <f t="shared" si="8"/>
        <v>43.5</v>
      </c>
    </row>
    <row r="36" spans="1:36" ht="22.5" customHeight="1">
      <c r="A36" s="778" t="s">
        <v>20</v>
      </c>
      <c r="B36" s="820" t="s">
        <v>21</v>
      </c>
      <c r="C36" s="821" t="s">
        <v>280</v>
      </c>
      <c r="D36" s="694" t="s">
        <v>569</v>
      </c>
      <c r="E36" s="9">
        <v>1197763</v>
      </c>
      <c r="F36" s="9">
        <v>1141922</v>
      </c>
      <c r="G36" s="177">
        <v>1008873</v>
      </c>
      <c r="H36" s="520">
        <v>1069289</v>
      </c>
      <c r="I36" s="607">
        <v>1037817</v>
      </c>
      <c r="J36" s="607">
        <v>95098</v>
      </c>
      <c r="K36" s="296">
        <v>100473</v>
      </c>
      <c r="L36" s="189">
        <f t="shared" si="0"/>
        <v>5.7</v>
      </c>
      <c r="M36" s="296">
        <f>P36-J36</f>
        <v>76705</v>
      </c>
      <c r="N36" s="296">
        <f>Q36-K36</f>
        <v>86539</v>
      </c>
      <c r="O36" s="189">
        <f t="shared" si="1"/>
        <v>12.8</v>
      </c>
      <c r="P36" s="607">
        <v>171803</v>
      </c>
      <c r="Q36" s="607">
        <v>187012</v>
      </c>
      <c r="R36" s="189">
        <f t="shared" si="2"/>
        <v>8.9</v>
      </c>
      <c r="S36" s="296">
        <f>V36-P36</f>
        <v>87474</v>
      </c>
      <c r="T36" s="296">
        <f>W36-Q36</f>
        <v>104428</v>
      </c>
      <c r="U36" s="189">
        <f t="shared" si="3"/>
        <v>19.399999999999999</v>
      </c>
      <c r="V36" s="607">
        <v>259277</v>
      </c>
      <c r="W36" s="607">
        <v>291440</v>
      </c>
      <c r="X36" s="189">
        <f t="shared" si="4"/>
        <v>12.4</v>
      </c>
      <c r="Y36" s="296">
        <f>AB36-V36</f>
        <v>90641</v>
      </c>
      <c r="Z36" s="296">
        <f>AC36-W36</f>
        <v>107543</v>
      </c>
      <c r="AA36" s="189">
        <f t="shared" si="5"/>
        <v>18.600000000000001</v>
      </c>
      <c r="AB36" s="607">
        <v>349918</v>
      </c>
      <c r="AC36" s="607">
        <v>398983</v>
      </c>
      <c r="AD36" s="189">
        <f t="shared" si="6"/>
        <v>14</v>
      </c>
      <c r="AE36" s="296">
        <f>AH36-AB36</f>
        <v>85279</v>
      </c>
      <c r="AF36" s="296">
        <f>AI36-AC36</f>
        <v>86850</v>
      </c>
      <c r="AG36" s="189">
        <f t="shared" si="7"/>
        <v>1.8</v>
      </c>
      <c r="AH36" s="607">
        <v>435197</v>
      </c>
      <c r="AI36" s="607">
        <v>485833</v>
      </c>
      <c r="AJ36" s="189">
        <f t="shared" si="8"/>
        <v>11.6</v>
      </c>
    </row>
    <row r="37" spans="1:36" ht="22.5" customHeight="1">
      <c r="A37" s="819"/>
      <c r="B37" s="820"/>
      <c r="C37" s="822"/>
      <c r="D37" s="345" t="s">
        <v>8</v>
      </c>
      <c r="E37" s="5">
        <v>2037637</v>
      </c>
      <c r="F37" s="5">
        <v>2342589</v>
      </c>
      <c r="G37" s="174">
        <v>2261832</v>
      </c>
      <c r="H37" s="401">
        <v>2047854</v>
      </c>
      <c r="I37" s="606">
        <v>1862915</v>
      </c>
      <c r="J37" s="606">
        <v>177690</v>
      </c>
      <c r="K37" s="294">
        <v>215736</v>
      </c>
      <c r="L37" s="187">
        <f t="shared" si="0"/>
        <v>21.4</v>
      </c>
      <c r="M37" s="294">
        <f>P37-J37</f>
        <v>140345</v>
      </c>
      <c r="N37" s="294">
        <f>Q37-K37</f>
        <v>189186</v>
      </c>
      <c r="O37" s="187">
        <f t="shared" si="1"/>
        <v>34.799999999999997</v>
      </c>
      <c r="P37" s="606">
        <v>318035</v>
      </c>
      <c r="Q37" s="606">
        <v>404922</v>
      </c>
      <c r="R37" s="187">
        <f t="shared" si="2"/>
        <v>27.3</v>
      </c>
      <c r="S37" s="294">
        <f>V37-P37</f>
        <v>154393</v>
      </c>
      <c r="T37" s="294">
        <f>W37-Q37</f>
        <v>239145</v>
      </c>
      <c r="U37" s="187">
        <f t="shared" si="3"/>
        <v>54.9</v>
      </c>
      <c r="V37" s="606">
        <v>472428</v>
      </c>
      <c r="W37" s="606">
        <v>644067</v>
      </c>
      <c r="X37" s="187">
        <f t="shared" si="4"/>
        <v>36.299999999999997</v>
      </c>
      <c r="Y37" s="294">
        <f>AB37-V37</f>
        <v>150561</v>
      </c>
      <c r="Z37" s="294">
        <f>AC37-W37</f>
        <v>253547</v>
      </c>
      <c r="AA37" s="187">
        <f t="shared" si="5"/>
        <v>68.400000000000006</v>
      </c>
      <c r="AB37" s="606">
        <v>622989</v>
      </c>
      <c r="AC37" s="606">
        <v>897614</v>
      </c>
      <c r="AD37" s="187">
        <f t="shared" si="6"/>
        <v>44.1</v>
      </c>
      <c r="AE37" s="294">
        <f>AH37-AB37</f>
        <v>136243</v>
      </c>
      <c r="AF37" s="294">
        <f>AI37-AC37</f>
        <v>219461</v>
      </c>
      <c r="AG37" s="187">
        <f t="shared" si="7"/>
        <v>61.1</v>
      </c>
      <c r="AH37" s="606">
        <v>759232</v>
      </c>
      <c r="AI37" s="606">
        <v>1117075</v>
      </c>
      <c r="AJ37" s="187">
        <f t="shared" si="8"/>
        <v>47.1</v>
      </c>
    </row>
    <row r="38" spans="1:36" ht="22.5" customHeight="1">
      <c r="A38" s="11"/>
      <c r="B38" s="820"/>
      <c r="C38" s="822"/>
      <c r="D38" s="347" t="s">
        <v>9</v>
      </c>
      <c r="E38" s="10">
        <f t="shared" ref="E38:G38" si="63">E37/E36*1000</f>
        <v>1701.2021576889586</v>
      </c>
      <c r="F38" s="10">
        <f t="shared" si="63"/>
        <v>2051.4439690276567</v>
      </c>
      <c r="G38" s="178">
        <f t="shared" si="63"/>
        <v>2241.9392728321604</v>
      </c>
      <c r="H38" s="405">
        <f>H37/H36*1000</f>
        <v>1915.1548365315646</v>
      </c>
      <c r="I38" s="514">
        <f>I37/I36*1000</f>
        <v>1795.0322648405258</v>
      </c>
      <c r="J38" s="514">
        <f t="shared" ref="J38:K38" si="64">J37/J36*1000</f>
        <v>1868.4935540179604</v>
      </c>
      <c r="K38" s="514">
        <f t="shared" si="64"/>
        <v>2147.20372637425</v>
      </c>
      <c r="L38" s="188">
        <f t="shared" si="0"/>
        <v>14.9</v>
      </c>
      <c r="M38" s="295">
        <f>M37/M36*1000</f>
        <v>1829.6721204615083</v>
      </c>
      <c r="N38" s="295">
        <f>N37/N36*1000</f>
        <v>2186.1357307110088</v>
      </c>
      <c r="O38" s="188">
        <f t="shared" si="1"/>
        <v>19.5</v>
      </c>
      <c r="P38" s="514">
        <f>P37/P36*1000</f>
        <v>1851.1609226847029</v>
      </c>
      <c r="Q38" s="514">
        <f>Q37/Q36*1000</f>
        <v>2165.2193442132057</v>
      </c>
      <c r="R38" s="188">
        <f t="shared" si="2"/>
        <v>17</v>
      </c>
      <c r="S38" s="295">
        <f>S37/S36*1000</f>
        <v>1765.0158904360153</v>
      </c>
      <c r="T38" s="295">
        <f>T37/T36*1000</f>
        <v>2290.0467307618646</v>
      </c>
      <c r="U38" s="188">
        <f t="shared" si="3"/>
        <v>29.7</v>
      </c>
      <c r="V38" s="514">
        <f>V37/V36*1000</f>
        <v>1822.0976021783652</v>
      </c>
      <c r="W38" s="514">
        <f t="shared" ref="W38" si="65">W37/W36*1000</f>
        <v>2209.9471589349437</v>
      </c>
      <c r="X38" s="188">
        <f t="shared" si="4"/>
        <v>21.3</v>
      </c>
      <c r="Y38" s="295">
        <f>Y37/Y36*1000</f>
        <v>1661.0694939376222</v>
      </c>
      <c r="Z38" s="295">
        <f>Z37/Z36*1000</f>
        <v>2357.6336907097625</v>
      </c>
      <c r="AA38" s="188">
        <f t="shared" si="5"/>
        <v>41.9</v>
      </c>
      <c r="AB38" s="514">
        <f>AB37/AB36*1000</f>
        <v>1780.3856903617418</v>
      </c>
      <c r="AC38" s="514">
        <f t="shared" ref="AC38" si="66">AC37/AC36*1000</f>
        <v>2249.7550020928211</v>
      </c>
      <c r="AD38" s="188">
        <f t="shared" si="6"/>
        <v>26.4</v>
      </c>
      <c r="AE38" s="295">
        <f>AE37/AE36*1000</f>
        <v>1597.6148876042166</v>
      </c>
      <c r="AF38" s="295">
        <f>AF37/AF36*1000</f>
        <v>2526.8969487622339</v>
      </c>
      <c r="AG38" s="188">
        <f t="shared" si="7"/>
        <v>58.2</v>
      </c>
      <c r="AH38" s="514">
        <f>AH37/AH36*1000</f>
        <v>1744.5708495233193</v>
      </c>
      <c r="AI38" s="514">
        <f t="shared" ref="AI38" si="67">AI37/AI36*1000</f>
        <v>2299.2983185580229</v>
      </c>
      <c r="AJ38" s="188">
        <f t="shared" si="8"/>
        <v>31.8</v>
      </c>
    </row>
    <row r="39" spans="1:36" ht="22.5" customHeight="1">
      <c r="A39" s="11"/>
      <c r="B39" s="820" t="s">
        <v>35</v>
      </c>
      <c r="C39" s="821" t="s">
        <v>281</v>
      </c>
      <c r="D39" s="694" t="s">
        <v>569</v>
      </c>
      <c r="E39" s="9">
        <f>1655344-E36</f>
        <v>457581</v>
      </c>
      <c r="F39" s="9">
        <f>1621431-F36</f>
        <v>479509</v>
      </c>
      <c r="G39" s="177">
        <f>1446299-G36</f>
        <v>437426</v>
      </c>
      <c r="H39" s="520">
        <f>1508451-H36</f>
        <v>439162</v>
      </c>
      <c r="I39" s="607">
        <f>1389821-I36</f>
        <v>352004</v>
      </c>
      <c r="J39" s="607">
        <f>123442-J36</f>
        <v>28344</v>
      </c>
      <c r="K39" s="296">
        <f>134598-K36</f>
        <v>34125</v>
      </c>
      <c r="L39" s="189">
        <f t="shared" si="0"/>
        <v>20.399999999999999</v>
      </c>
      <c r="M39" s="296">
        <f>P39-J39</f>
        <v>33779</v>
      </c>
      <c r="N39" s="296">
        <f>Q39-K39</f>
        <v>23554</v>
      </c>
      <c r="O39" s="189">
        <f t="shared" si="1"/>
        <v>-30.3</v>
      </c>
      <c r="P39" s="607">
        <f>233926-P36</f>
        <v>62123</v>
      </c>
      <c r="Q39" s="607">
        <f>244691-Q36</f>
        <v>57679</v>
      </c>
      <c r="R39" s="189">
        <f t="shared" si="2"/>
        <v>-7.2</v>
      </c>
      <c r="S39" s="296">
        <f>V39-P39</f>
        <v>29908</v>
      </c>
      <c r="T39" s="296">
        <f>W39-Q39</f>
        <v>40738</v>
      </c>
      <c r="U39" s="189">
        <f t="shared" si="3"/>
        <v>36.200000000000003</v>
      </c>
      <c r="V39" s="607">
        <f>351308-V36</f>
        <v>92031</v>
      </c>
      <c r="W39" s="607">
        <f>389857-W36</f>
        <v>98417</v>
      </c>
      <c r="X39" s="189">
        <f t="shared" si="4"/>
        <v>6.9</v>
      </c>
      <c r="Y39" s="296">
        <f>AB39-V39</f>
        <v>30534</v>
      </c>
      <c r="Z39" s="296">
        <f>AC39-W39</f>
        <v>35360</v>
      </c>
      <c r="AA39" s="189">
        <f t="shared" si="5"/>
        <v>15.8</v>
      </c>
      <c r="AB39" s="607">
        <f>472483-AB36</f>
        <v>122565</v>
      </c>
      <c r="AC39" s="607">
        <f>532760-AC36</f>
        <v>133777</v>
      </c>
      <c r="AD39" s="189">
        <f t="shared" si="6"/>
        <v>9.1</v>
      </c>
      <c r="AE39" s="296">
        <f>AH39-AB39</f>
        <v>28268</v>
      </c>
      <c r="AF39" s="296">
        <f>AI39-AC39</f>
        <v>28963</v>
      </c>
      <c r="AG39" s="189">
        <f t="shared" si="7"/>
        <v>2.5</v>
      </c>
      <c r="AH39" s="607">
        <f>586030-AH36</f>
        <v>150833</v>
      </c>
      <c r="AI39" s="607">
        <f>648573-AI36</f>
        <v>162740</v>
      </c>
      <c r="AJ39" s="189">
        <f t="shared" si="8"/>
        <v>7.9</v>
      </c>
    </row>
    <row r="40" spans="1:36" ht="22.5" customHeight="1">
      <c r="A40" s="11"/>
      <c r="B40" s="820"/>
      <c r="C40" s="822"/>
      <c r="D40" s="345" t="s">
        <v>8</v>
      </c>
      <c r="E40" s="5">
        <f>2861003-E37</f>
        <v>823366</v>
      </c>
      <c r="F40" s="5">
        <f>3356874-F37</f>
        <v>1014285</v>
      </c>
      <c r="G40" s="174">
        <f>3280302-G37</f>
        <v>1018470</v>
      </c>
      <c r="H40" s="401">
        <f>2944236-H37</f>
        <v>896382</v>
      </c>
      <c r="I40" s="606">
        <f>2527213-I37</f>
        <v>664298</v>
      </c>
      <c r="J40" s="606">
        <f>233773-J37</f>
        <v>56083</v>
      </c>
      <c r="K40" s="294">
        <f>288245-K37</f>
        <v>72509</v>
      </c>
      <c r="L40" s="187">
        <f t="shared" si="0"/>
        <v>29.3</v>
      </c>
      <c r="M40" s="294">
        <f>P40-J40</f>
        <v>66975</v>
      </c>
      <c r="N40" s="294">
        <f>Q40-K40</f>
        <v>51561</v>
      </c>
      <c r="O40" s="187">
        <f t="shared" si="1"/>
        <v>-23</v>
      </c>
      <c r="P40" s="606">
        <f>441093-P37</f>
        <v>123058</v>
      </c>
      <c r="Q40" s="606">
        <f>528992-Q37</f>
        <v>124070</v>
      </c>
      <c r="R40" s="187">
        <f t="shared" si="2"/>
        <v>0.8</v>
      </c>
      <c r="S40" s="294">
        <f>V40-P40</f>
        <v>57920</v>
      </c>
      <c r="T40" s="294">
        <f>W40-Q40</f>
        <v>91444</v>
      </c>
      <c r="U40" s="187">
        <f t="shared" si="3"/>
        <v>57.9</v>
      </c>
      <c r="V40" s="606">
        <f>653406-V37</f>
        <v>180978</v>
      </c>
      <c r="W40" s="606">
        <f>859581-W37</f>
        <v>215514</v>
      </c>
      <c r="X40" s="187">
        <f t="shared" si="4"/>
        <v>19.100000000000001</v>
      </c>
      <c r="Y40" s="294">
        <f>AB40-V40</f>
        <v>57630</v>
      </c>
      <c r="Z40" s="294">
        <f>AC40-W40</f>
        <v>83347</v>
      </c>
      <c r="AA40" s="187">
        <f t="shared" si="5"/>
        <v>44.6</v>
      </c>
      <c r="AB40" s="606">
        <f>861597-AB37</f>
        <v>238608</v>
      </c>
      <c r="AC40" s="606">
        <f>1196475-AC37</f>
        <v>298861</v>
      </c>
      <c r="AD40" s="187">
        <f t="shared" si="6"/>
        <v>25.3</v>
      </c>
      <c r="AE40" s="294">
        <f>AH40-AB40</f>
        <v>50348</v>
      </c>
      <c r="AF40" s="294">
        <f>AI40-AC40</f>
        <v>69001</v>
      </c>
      <c r="AG40" s="187">
        <f t="shared" si="7"/>
        <v>37</v>
      </c>
      <c r="AH40" s="606">
        <f>1048188-AH37</f>
        <v>288956</v>
      </c>
      <c r="AI40" s="606">
        <f>1484937-AI37</f>
        <v>367862</v>
      </c>
      <c r="AJ40" s="187">
        <f t="shared" si="8"/>
        <v>27.3</v>
      </c>
    </row>
    <row r="41" spans="1:36" ht="22.5" customHeight="1">
      <c r="A41" s="11"/>
      <c r="B41" s="820"/>
      <c r="C41" s="822"/>
      <c r="D41" s="347" t="s">
        <v>9</v>
      </c>
      <c r="E41" s="10">
        <f t="shared" ref="E41:G41" si="68">E40/E39*1000</f>
        <v>1799.3885235619487</v>
      </c>
      <c r="F41" s="10">
        <f t="shared" si="68"/>
        <v>2115.2574821327648</v>
      </c>
      <c r="G41" s="178">
        <f t="shared" si="68"/>
        <v>2328.3252481562595</v>
      </c>
      <c r="H41" s="405">
        <f>H40/H39*1000</f>
        <v>2041.1192225192524</v>
      </c>
      <c r="I41" s="514">
        <f>I40/I39*1000</f>
        <v>1887.1887819456597</v>
      </c>
      <c r="J41" s="514">
        <f t="shared" ref="J41:K41" si="69">J40/J39*1000</f>
        <v>1978.6550945526392</v>
      </c>
      <c r="K41" s="514">
        <f t="shared" si="69"/>
        <v>2124.8058608058604</v>
      </c>
      <c r="L41" s="188">
        <f t="shared" si="0"/>
        <v>7.4</v>
      </c>
      <c r="M41" s="295">
        <f>M40/M39*1000</f>
        <v>1982.7407560910626</v>
      </c>
      <c r="N41" s="295">
        <f>N40/N39*1000</f>
        <v>2189.0549375902183</v>
      </c>
      <c r="O41" s="188">
        <f t="shared" si="1"/>
        <v>10.4</v>
      </c>
      <c r="P41" s="514">
        <f>P40/P39*1000</f>
        <v>1980.8766479403764</v>
      </c>
      <c r="Q41" s="514">
        <f>Q40/Q39*1000</f>
        <v>2151.0428405485532</v>
      </c>
      <c r="R41" s="188">
        <f t="shared" si="2"/>
        <v>8.6</v>
      </c>
      <c r="S41" s="295">
        <f>S40/S39*1000</f>
        <v>1936.6055904774641</v>
      </c>
      <c r="T41" s="295">
        <f>T40/T39*1000</f>
        <v>2244.6855515734696</v>
      </c>
      <c r="U41" s="188">
        <f t="shared" si="3"/>
        <v>15.9</v>
      </c>
      <c r="V41" s="514">
        <f>V40/V39*1000</f>
        <v>1966.4895524334192</v>
      </c>
      <c r="W41" s="514">
        <f t="shared" ref="W41" si="70">W40/W39*1000</f>
        <v>2189.8046069276652</v>
      </c>
      <c r="X41" s="188">
        <f t="shared" si="4"/>
        <v>11.4</v>
      </c>
      <c r="Y41" s="295">
        <f>Y40/Y39*1000</f>
        <v>1887.4042051483593</v>
      </c>
      <c r="Z41" s="295">
        <f>Z40/Z39*1000</f>
        <v>2357.0984162895929</v>
      </c>
      <c r="AA41" s="188">
        <f t="shared" si="5"/>
        <v>24.9</v>
      </c>
      <c r="AB41" s="514">
        <f>AB40/AB39*1000</f>
        <v>1946.7874189205727</v>
      </c>
      <c r="AC41" s="514">
        <f t="shared" ref="AC41" si="71">AC40/AC39*1000</f>
        <v>2234.0237858525757</v>
      </c>
      <c r="AD41" s="188">
        <f t="shared" si="6"/>
        <v>14.8</v>
      </c>
      <c r="AE41" s="295">
        <f>AE40/AE39*1000</f>
        <v>1781.0952313570115</v>
      </c>
      <c r="AF41" s="295">
        <f>AF40/AF39*1000</f>
        <v>2382.3844215032973</v>
      </c>
      <c r="AG41" s="188">
        <f t="shared" si="7"/>
        <v>33.799999999999997</v>
      </c>
      <c r="AH41" s="514">
        <f>AH40/AH39*1000</f>
        <v>1915.7346204080009</v>
      </c>
      <c r="AI41" s="514">
        <f t="shared" ref="AI41" si="72">AI40/AI39*1000</f>
        <v>2260.4276760476837</v>
      </c>
      <c r="AJ41" s="188">
        <f t="shared" si="8"/>
        <v>18</v>
      </c>
    </row>
    <row r="42" spans="1:36" ht="22.5" customHeight="1">
      <c r="A42" s="11"/>
      <c r="B42" s="820" t="s">
        <v>13</v>
      </c>
      <c r="C42" s="822">
        <v>7604</v>
      </c>
      <c r="D42" s="694" t="s">
        <v>569</v>
      </c>
      <c r="E42" s="9">
        <v>11946</v>
      </c>
      <c r="F42" s="9">
        <v>17913</v>
      </c>
      <c r="G42" s="177">
        <v>25260</v>
      </c>
      <c r="H42" s="520">
        <v>28129</v>
      </c>
      <c r="I42" s="607">
        <v>23160</v>
      </c>
      <c r="J42" s="607">
        <v>2221</v>
      </c>
      <c r="K42" s="296">
        <v>1431</v>
      </c>
      <c r="L42" s="189">
        <f t="shared" si="0"/>
        <v>-35.6</v>
      </c>
      <c r="M42" s="296">
        <f>P42-J42</f>
        <v>1500</v>
      </c>
      <c r="N42" s="296">
        <f>Q42-K42</f>
        <v>1312</v>
      </c>
      <c r="O42" s="189">
        <f t="shared" si="1"/>
        <v>-12.5</v>
      </c>
      <c r="P42" s="607">
        <v>3721</v>
      </c>
      <c r="Q42" s="607">
        <v>2743</v>
      </c>
      <c r="R42" s="189">
        <f t="shared" si="2"/>
        <v>-26.3</v>
      </c>
      <c r="S42" s="296">
        <f>V42-P42</f>
        <v>2299</v>
      </c>
      <c r="T42" s="296">
        <f>W42-Q42</f>
        <v>1347</v>
      </c>
      <c r="U42" s="189">
        <f t="shared" si="3"/>
        <v>-41.4</v>
      </c>
      <c r="V42" s="607">
        <v>6020</v>
      </c>
      <c r="W42" s="607">
        <v>4090</v>
      </c>
      <c r="X42" s="189">
        <f t="shared" si="4"/>
        <v>-32.1</v>
      </c>
      <c r="Y42" s="296">
        <f>AB42-V42</f>
        <v>2376</v>
      </c>
      <c r="Z42" s="296">
        <f>AC42-W42</f>
        <v>1680</v>
      </c>
      <c r="AA42" s="189">
        <f t="shared" si="5"/>
        <v>-29.3</v>
      </c>
      <c r="AB42" s="607">
        <v>8396</v>
      </c>
      <c r="AC42" s="607">
        <v>5770</v>
      </c>
      <c r="AD42" s="189">
        <f t="shared" si="6"/>
        <v>-31.3</v>
      </c>
      <c r="AE42" s="296">
        <f>AH42-AB42</f>
        <v>1970</v>
      </c>
      <c r="AF42" s="296">
        <f>AI42-AC42</f>
        <v>1539</v>
      </c>
      <c r="AG42" s="189">
        <f t="shared" si="7"/>
        <v>-21.9</v>
      </c>
      <c r="AH42" s="607">
        <v>10366</v>
      </c>
      <c r="AI42" s="607">
        <v>7309</v>
      </c>
      <c r="AJ42" s="189">
        <f t="shared" si="8"/>
        <v>-29.5</v>
      </c>
    </row>
    <row r="43" spans="1:36" ht="22.5" customHeight="1">
      <c r="A43" s="11"/>
      <c r="B43" s="820"/>
      <c r="C43" s="822"/>
      <c r="D43" s="345" t="s">
        <v>8</v>
      </c>
      <c r="E43" s="5">
        <v>86228</v>
      </c>
      <c r="F43" s="5">
        <v>103661</v>
      </c>
      <c r="G43" s="174">
        <v>128283</v>
      </c>
      <c r="H43" s="401">
        <v>141800</v>
      </c>
      <c r="I43" s="606">
        <v>119225</v>
      </c>
      <c r="J43" s="606">
        <v>10364</v>
      </c>
      <c r="K43" s="294">
        <v>7287</v>
      </c>
      <c r="L43" s="187">
        <f t="shared" si="0"/>
        <v>-29.7</v>
      </c>
      <c r="M43" s="294">
        <f>P43-J43</f>
        <v>8710</v>
      </c>
      <c r="N43" s="294">
        <f>Q43-K43</f>
        <v>7219</v>
      </c>
      <c r="O43" s="187">
        <f t="shared" si="1"/>
        <v>-17.100000000000001</v>
      </c>
      <c r="P43" s="606">
        <v>19074</v>
      </c>
      <c r="Q43" s="606">
        <v>14506</v>
      </c>
      <c r="R43" s="187">
        <f t="shared" si="2"/>
        <v>-23.9</v>
      </c>
      <c r="S43" s="294">
        <f>V43-P43</f>
        <v>13054</v>
      </c>
      <c r="T43" s="294">
        <f>W43-Q43</f>
        <v>6716</v>
      </c>
      <c r="U43" s="187">
        <f t="shared" si="3"/>
        <v>-48.6</v>
      </c>
      <c r="V43" s="606">
        <v>32128</v>
      </c>
      <c r="W43" s="606">
        <v>21222</v>
      </c>
      <c r="X43" s="187">
        <f t="shared" si="4"/>
        <v>-33.9</v>
      </c>
      <c r="Y43" s="294">
        <f>AB43-V43</f>
        <v>10796</v>
      </c>
      <c r="Z43" s="294">
        <f>AC43-W43</f>
        <v>7689</v>
      </c>
      <c r="AA43" s="187">
        <f t="shared" si="5"/>
        <v>-28.8</v>
      </c>
      <c r="AB43" s="606">
        <v>42924</v>
      </c>
      <c r="AC43" s="606">
        <v>28911</v>
      </c>
      <c r="AD43" s="187">
        <f t="shared" si="6"/>
        <v>-32.6</v>
      </c>
      <c r="AE43" s="294">
        <f>AH43-AB43</f>
        <v>10534</v>
      </c>
      <c r="AF43" s="294">
        <f>AI43-AC43</f>
        <v>8240</v>
      </c>
      <c r="AG43" s="187">
        <f t="shared" si="7"/>
        <v>-21.8</v>
      </c>
      <c r="AH43" s="606">
        <v>53458</v>
      </c>
      <c r="AI43" s="606">
        <v>37151</v>
      </c>
      <c r="AJ43" s="187">
        <f t="shared" si="8"/>
        <v>-30.5</v>
      </c>
    </row>
    <row r="44" spans="1:36" ht="22.5" customHeight="1">
      <c r="A44" s="11"/>
      <c r="B44" s="820"/>
      <c r="C44" s="822"/>
      <c r="D44" s="347" t="s">
        <v>9</v>
      </c>
      <c r="E44" s="10">
        <f t="shared" ref="E44:G44" si="73">E43/E42*1000</f>
        <v>7218.1483341704334</v>
      </c>
      <c r="F44" s="10">
        <f t="shared" si="73"/>
        <v>5786.9145313459494</v>
      </c>
      <c r="G44" s="178">
        <f t="shared" si="73"/>
        <v>5078.5035629453678</v>
      </c>
      <c r="H44" s="405">
        <f>H43/H42*1000</f>
        <v>5041.0608269046188</v>
      </c>
      <c r="I44" s="514">
        <f>I43/I42*1000</f>
        <v>5147.8842832469772</v>
      </c>
      <c r="J44" s="514">
        <f t="shared" ref="J44:K44" si="74">J43/J42*1000</f>
        <v>4666.366501575867</v>
      </c>
      <c r="K44" s="514">
        <f t="shared" si="74"/>
        <v>5092.2431865828094</v>
      </c>
      <c r="L44" s="188">
        <f t="shared" si="0"/>
        <v>9.1</v>
      </c>
      <c r="M44" s="295">
        <f>M43/M42*1000</f>
        <v>5806.666666666667</v>
      </c>
      <c r="N44" s="295">
        <f>N43/N42*1000</f>
        <v>5502.2865853658532</v>
      </c>
      <c r="O44" s="188">
        <f t="shared" si="1"/>
        <v>-5.2</v>
      </c>
      <c r="P44" s="514">
        <f>P43/P42*1000</f>
        <v>5126.0413867239995</v>
      </c>
      <c r="Q44" s="514">
        <f>Q43/Q42*1000</f>
        <v>5288.3703973751371</v>
      </c>
      <c r="R44" s="188">
        <f t="shared" si="2"/>
        <v>3.2</v>
      </c>
      <c r="S44" s="295">
        <f>S43/S42*1000</f>
        <v>5678.1209221400613</v>
      </c>
      <c r="T44" s="295">
        <f>T43/T42*1000</f>
        <v>4985.8945805493686</v>
      </c>
      <c r="U44" s="188">
        <f t="shared" si="3"/>
        <v>-12.2</v>
      </c>
      <c r="V44" s="514">
        <f>V43/V42*1000</f>
        <v>5336.8770764119599</v>
      </c>
      <c r="W44" s="514">
        <f t="shared" ref="W44" si="75">W43/W42*1000</f>
        <v>5188.7530562347183</v>
      </c>
      <c r="X44" s="188">
        <f t="shared" si="4"/>
        <v>-2.8</v>
      </c>
      <c r="Y44" s="295">
        <f>Y43/Y42*1000</f>
        <v>4543.7710437710439</v>
      </c>
      <c r="Z44" s="295">
        <f>Z43/Z42*1000</f>
        <v>4576.7857142857147</v>
      </c>
      <c r="AA44" s="188">
        <f t="shared" si="5"/>
        <v>0.7</v>
      </c>
      <c r="AB44" s="514">
        <f>AB43/AB42*1000</f>
        <v>5112.4344926155309</v>
      </c>
      <c r="AC44" s="514">
        <f t="shared" ref="AC44" si="76">AC43/AC42*1000</f>
        <v>5010.5719237435005</v>
      </c>
      <c r="AD44" s="188">
        <f t="shared" si="6"/>
        <v>-2</v>
      </c>
      <c r="AE44" s="295">
        <f>AE43/AE42*1000</f>
        <v>5347.2081218274116</v>
      </c>
      <c r="AF44" s="295">
        <f>AF43/AF42*1000</f>
        <v>5354.1260558804415</v>
      </c>
      <c r="AG44" s="188">
        <f t="shared" si="7"/>
        <v>0.1</v>
      </c>
      <c r="AH44" s="514">
        <f>AH43/AH42*1000</f>
        <v>5157.0519004437583</v>
      </c>
      <c r="AI44" s="514">
        <f t="shared" ref="AI44" si="77">AI43/AI42*1000</f>
        <v>5082.9114789984951</v>
      </c>
      <c r="AJ44" s="188">
        <f t="shared" si="8"/>
        <v>-1.4</v>
      </c>
    </row>
    <row r="45" spans="1:36" ht="22.5" customHeight="1">
      <c r="A45" s="11"/>
      <c r="B45" s="820" t="s">
        <v>14</v>
      </c>
      <c r="C45" s="822">
        <v>7605</v>
      </c>
      <c r="D45" s="694" t="s">
        <v>569</v>
      </c>
      <c r="E45" s="9">
        <v>6670</v>
      </c>
      <c r="F45" s="9">
        <v>15871</v>
      </c>
      <c r="G45" s="177">
        <v>16060</v>
      </c>
      <c r="H45" s="520">
        <v>10513</v>
      </c>
      <c r="I45" s="607">
        <v>12322</v>
      </c>
      <c r="J45" s="607">
        <v>1018</v>
      </c>
      <c r="K45" s="296">
        <v>1244</v>
      </c>
      <c r="L45" s="189">
        <f t="shared" si="0"/>
        <v>22.2</v>
      </c>
      <c r="M45" s="296">
        <f>P45-J45</f>
        <v>945</v>
      </c>
      <c r="N45" s="296">
        <f>Q45-K45</f>
        <v>880</v>
      </c>
      <c r="O45" s="189">
        <f t="shared" si="1"/>
        <v>-6.9</v>
      </c>
      <c r="P45" s="607">
        <v>1963</v>
      </c>
      <c r="Q45" s="607">
        <v>2124</v>
      </c>
      <c r="R45" s="189">
        <f t="shared" si="2"/>
        <v>8.1999999999999993</v>
      </c>
      <c r="S45" s="296">
        <f>V45-P45</f>
        <v>1378</v>
      </c>
      <c r="T45" s="296">
        <f>W45-Q45</f>
        <v>1135</v>
      </c>
      <c r="U45" s="189">
        <f t="shared" si="3"/>
        <v>-17.600000000000001</v>
      </c>
      <c r="V45" s="607">
        <v>3341</v>
      </c>
      <c r="W45" s="607">
        <v>3259</v>
      </c>
      <c r="X45" s="189">
        <f t="shared" si="4"/>
        <v>-2.5</v>
      </c>
      <c r="Y45" s="296">
        <f>AB45-V45</f>
        <v>867</v>
      </c>
      <c r="Z45" s="296">
        <f>AC45-W45</f>
        <v>1649</v>
      </c>
      <c r="AA45" s="189">
        <f t="shared" si="5"/>
        <v>90.2</v>
      </c>
      <c r="AB45" s="607">
        <v>4208</v>
      </c>
      <c r="AC45" s="607">
        <v>4908</v>
      </c>
      <c r="AD45" s="189">
        <f t="shared" si="6"/>
        <v>16.600000000000001</v>
      </c>
      <c r="AE45" s="296">
        <f>AH45-AB45</f>
        <v>909</v>
      </c>
      <c r="AF45" s="296">
        <f>AI45-AC45</f>
        <v>757</v>
      </c>
      <c r="AG45" s="189">
        <f t="shared" si="7"/>
        <v>-16.7</v>
      </c>
      <c r="AH45" s="607">
        <v>5117</v>
      </c>
      <c r="AI45" s="607">
        <v>5665</v>
      </c>
      <c r="AJ45" s="189">
        <f t="shared" si="8"/>
        <v>10.7</v>
      </c>
    </row>
    <row r="46" spans="1:36" ht="22.5" customHeight="1">
      <c r="A46" s="11"/>
      <c r="B46" s="820"/>
      <c r="C46" s="822"/>
      <c r="D46" s="345" t="s">
        <v>8</v>
      </c>
      <c r="E46" s="5">
        <v>25122</v>
      </c>
      <c r="F46" s="5">
        <v>47731</v>
      </c>
      <c r="G46" s="174">
        <v>50435</v>
      </c>
      <c r="H46" s="401">
        <v>33589</v>
      </c>
      <c r="I46" s="606">
        <v>36043</v>
      </c>
      <c r="J46" s="606">
        <v>3017</v>
      </c>
      <c r="K46" s="294">
        <v>3891</v>
      </c>
      <c r="L46" s="187">
        <f t="shared" si="0"/>
        <v>29</v>
      </c>
      <c r="M46" s="294">
        <f>P46-J46</f>
        <v>2739</v>
      </c>
      <c r="N46" s="294">
        <f>Q46-K46</f>
        <v>2875</v>
      </c>
      <c r="O46" s="187">
        <f t="shared" si="1"/>
        <v>5</v>
      </c>
      <c r="P46" s="606">
        <v>5756</v>
      </c>
      <c r="Q46" s="606">
        <v>6766</v>
      </c>
      <c r="R46" s="187">
        <f t="shared" si="2"/>
        <v>17.5</v>
      </c>
      <c r="S46" s="294">
        <f>V46-P46</f>
        <v>3716</v>
      </c>
      <c r="T46" s="294">
        <f>W46-Q46</f>
        <v>4045</v>
      </c>
      <c r="U46" s="187">
        <f t="shared" si="3"/>
        <v>8.9</v>
      </c>
      <c r="V46" s="606">
        <v>9472</v>
      </c>
      <c r="W46" s="606">
        <v>10811</v>
      </c>
      <c r="X46" s="187">
        <f t="shared" si="4"/>
        <v>14.1</v>
      </c>
      <c r="Y46" s="294">
        <f>AB46-V46</f>
        <v>2730</v>
      </c>
      <c r="Z46" s="294">
        <f>AC46-W46</f>
        <v>5458</v>
      </c>
      <c r="AA46" s="187">
        <f t="shared" si="5"/>
        <v>99.9</v>
      </c>
      <c r="AB46" s="606">
        <v>12202</v>
      </c>
      <c r="AC46" s="606">
        <v>16269</v>
      </c>
      <c r="AD46" s="187">
        <f t="shared" si="6"/>
        <v>33.299999999999997</v>
      </c>
      <c r="AE46" s="294">
        <f>AH46-AB46</f>
        <v>2621</v>
      </c>
      <c r="AF46" s="294">
        <f>AI46-AC46</f>
        <v>3043</v>
      </c>
      <c r="AG46" s="187">
        <f t="shared" si="7"/>
        <v>16.100000000000001</v>
      </c>
      <c r="AH46" s="606">
        <v>14823</v>
      </c>
      <c r="AI46" s="606">
        <v>19312</v>
      </c>
      <c r="AJ46" s="187">
        <f t="shared" si="8"/>
        <v>30.3</v>
      </c>
    </row>
    <row r="47" spans="1:36" ht="22.5" customHeight="1">
      <c r="A47" s="11"/>
      <c r="B47" s="820"/>
      <c r="C47" s="822"/>
      <c r="D47" s="347" t="s">
        <v>9</v>
      </c>
      <c r="E47" s="10">
        <f t="shared" ref="E47:G47" si="78">E46/E45*1000</f>
        <v>3766.4167916041979</v>
      </c>
      <c r="F47" s="10">
        <f t="shared" si="78"/>
        <v>3007.434944237918</v>
      </c>
      <c r="G47" s="178">
        <f t="shared" si="78"/>
        <v>3140.4109589041095</v>
      </c>
      <c r="H47" s="405">
        <f>H46/H45*1000</f>
        <v>3194.9966707885474</v>
      </c>
      <c r="I47" s="514">
        <f>I46/I45*1000</f>
        <v>2925.0933290050316</v>
      </c>
      <c r="J47" s="514">
        <f t="shared" ref="J47:K47" si="79">J46/J45*1000</f>
        <v>2963.6542239685659</v>
      </c>
      <c r="K47" s="514">
        <f t="shared" si="79"/>
        <v>3127.8135048231511</v>
      </c>
      <c r="L47" s="188">
        <f t="shared" si="0"/>
        <v>5.5</v>
      </c>
      <c r="M47" s="295">
        <f>M46/M45*1000</f>
        <v>2898.4126984126983</v>
      </c>
      <c r="N47" s="295">
        <f>N46/N45*1000</f>
        <v>3267.0454545454545</v>
      </c>
      <c r="O47" s="188">
        <f t="shared" si="1"/>
        <v>12.7</v>
      </c>
      <c r="P47" s="514">
        <f>P46/P45*1000</f>
        <v>2932.2465613856343</v>
      </c>
      <c r="Q47" s="514">
        <f>Q46/Q45*1000</f>
        <v>3185.4990583804142</v>
      </c>
      <c r="R47" s="188">
        <f t="shared" si="2"/>
        <v>8.6</v>
      </c>
      <c r="S47" s="295">
        <f>S46/S45*1000</f>
        <v>2696.6618287373003</v>
      </c>
      <c r="T47" s="295">
        <f>T46/T45*1000</f>
        <v>3563.8766519823789</v>
      </c>
      <c r="U47" s="188">
        <f t="shared" si="3"/>
        <v>32.200000000000003</v>
      </c>
      <c r="V47" s="514">
        <f>V46/V45*1000</f>
        <v>2835.0793175695899</v>
      </c>
      <c r="W47" s="514">
        <f t="shared" ref="W47" si="80">W46/W45*1000</f>
        <v>3317.2752378030073</v>
      </c>
      <c r="X47" s="188">
        <f t="shared" si="4"/>
        <v>17</v>
      </c>
      <c r="Y47" s="295">
        <f>Y46/Y45*1000</f>
        <v>3148.78892733564</v>
      </c>
      <c r="Z47" s="295">
        <f>Z46/Z45*1000</f>
        <v>3309.8847786537294</v>
      </c>
      <c r="AA47" s="188">
        <f t="shared" si="5"/>
        <v>5.0999999999999996</v>
      </c>
      <c r="AB47" s="514">
        <f>AB46/AB45*1000</f>
        <v>2899.7148288973381</v>
      </c>
      <c r="AC47" s="514">
        <f t="shared" ref="AC47" si="81">AC46/AC45*1000</f>
        <v>3314.79217603912</v>
      </c>
      <c r="AD47" s="188">
        <f t="shared" si="6"/>
        <v>14.3</v>
      </c>
      <c r="AE47" s="295">
        <f>AE46/AE45*1000</f>
        <v>2883.3883388338832</v>
      </c>
      <c r="AF47" s="295">
        <f>AF46/AF45*1000</f>
        <v>4019.8150594451781</v>
      </c>
      <c r="AG47" s="188">
        <f t="shared" si="7"/>
        <v>39.4</v>
      </c>
      <c r="AH47" s="514">
        <f>AH46/AH45*1000</f>
        <v>2896.8145397693961</v>
      </c>
      <c r="AI47" s="514">
        <f t="shared" ref="AI47" si="82">AI46/AI45*1000</f>
        <v>3409.0026478375994</v>
      </c>
      <c r="AJ47" s="188">
        <f t="shared" si="8"/>
        <v>17.7</v>
      </c>
    </row>
    <row r="48" spans="1:36" ht="22.5" customHeight="1">
      <c r="A48" s="11"/>
      <c r="B48" s="820" t="s">
        <v>15</v>
      </c>
      <c r="C48" s="822">
        <v>7606</v>
      </c>
      <c r="D48" s="694" t="s">
        <v>569</v>
      </c>
      <c r="E48" s="9">
        <v>211496</v>
      </c>
      <c r="F48" s="9">
        <v>274711</v>
      </c>
      <c r="G48" s="177">
        <v>407148</v>
      </c>
      <c r="H48" s="520">
        <v>346574</v>
      </c>
      <c r="I48" s="607">
        <v>302206</v>
      </c>
      <c r="J48" s="607">
        <v>25138</v>
      </c>
      <c r="K48" s="296">
        <v>22396</v>
      </c>
      <c r="L48" s="189">
        <f t="shared" si="0"/>
        <v>-10.9</v>
      </c>
      <c r="M48" s="296">
        <f>P48-J48</f>
        <v>16959</v>
      </c>
      <c r="N48" s="296">
        <f>Q48-K48</f>
        <v>21795</v>
      </c>
      <c r="O48" s="189">
        <f t="shared" si="1"/>
        <v>28.5</v>
      </c>
      <c r="P48" s="607">
        <v>42097</v>
      </c>
      <c r="Q48" s="607">
        <v>44191</v>
      </c>
      <c r="R48" s="189">
        <f t="shared" si="2"/>
        <v>5</v>
      </c>
      <c r="S48" s="296">
        <f>V48-P48</f>
        <v>27494</v>
      </c>
      <c r="T48" s="296">
        <f>W48-Q48</f>
        <v>29538</v>
      </c>
      <c r="U48" s="189">
        <f t="shared" si="3"/>
        <v>7.4</v>
      </c>
      <c r="V48" s="607">
        <v>69591</v>
      </c>
      <c r="W48" s="607">
        <v>73729</v>
      </c>
      <c r="X48" s="189">
        <f t="shared" si="4"/>
        <v>5.9</v>
      </c>
      <c r="Y48" s="296">
        <f>AB48-V48</f>
        <v>32306</v>
      </c>
      <c r="Z48" s="296">
        <f>AC48-W48</f>
        <v>28076</v>
      </c>
      <c r="AA48" s="189">
        <f t="shared" si="5"/>
        <v>-13.1</v>
      </c>
      <c r="AB48" s="607">
        <v>101897</v>
      </c>
      <c r="AC48" s="607">
        <v>101805</v>
      </c>
      <c r="AD48" s="189">
        <f t="shared" si="6"/>
        <v>-0.1</v>
      </c>
      <c r="AE48" s="296">
        <f>AH48-AB48</f>
        <v>29693</v>
      </c>
      <c r="AF48" s="296">
        <f>AI48-AC48</f>
        <v>26884</v>
      </c>
      <c r="AG48" s="189">
        <f t="shared" si="7"/>
        <v>-9.5</v>
      </c>
      <c r="AH48" s="607">
        <v>131590</v>
      </c>
      <c r="AI48" s="607">
        <v>128689</v>
      </c>
      <c r="AJ48" s="189">
        <f t="shared" si="8"/>
        <v>-2.2000000000000002</v>
      </c>
    </row>
    <row r="49" spans="1:36" ht="22.5" customHeight="1">
      <c r="A49" s="11"/>
      <c r="B49" s="820"/>
      <c r="C49" s="822"/>
      <c r="D49" s="345" t="s">
        <v>8</v>
      </c>
      <c r="E49" s="5">
        <v>799870</v>
      </c>
      <c r="F49" s="5">
        <v>978265</v>
      </c>
      <c r="G49" s="174">
        <v>1336262</v>
      </c>
      <c r="H49" s="401">
        <v>1134922</v>
      </c>
      <c r="I49" s="449">
        <v>968753</v>
      </c>
      <c r="J49" s="606">
        <v>90381</v>
      </c>
      <c r="K49" s="294">
        <v>75885</v>
      </c>
      <c r="L49" s="187">
        <f t="shared" si="0"/>
        <v>-16</v>
      </c>
      <c r="M49" s="294">
        <f>P49-J49</f>
        <v>63342</v>
      </c>
      <c r="N49" s="294">
        <f>Q49-K49</f>
        <v>71593</v>
      </c>
      <c r="O49" s="187">
        <f t="shared" si="1"/>
        <v>13</v>
      </c>
      <c r="P49" s="606">
        <v>153723</v>
      </c>
      <c r="Q49" s="606">
        <v>147478</v>
      </c>
      <c r="R49" s="187">
        <f t="shared" si="2"/>
        <v>-4.0999999999999996</v>
      </c>
      <c r="S49" s="294">
        <f>V49-P49</f>
        <v>92824</v>
      </c>
      <c r="T49" s="294">
        <f>W49-Q49</f>
        <v>98536</v>
      </c>
      <c r="U49" s="187">
        <f t="shared" si="3"/>
        <v>6.2</v>
      </c>
      <c r="V49" s="606">
        <v>246547</v>
      </c>
      <c r="W49" s="606">
        <v>246014</v>
      </c>
      <c r="X49" s="187">
        <f t="shared" si="4"/>
        <v>-0.2</v>
      </c>
      <c r="Y49" s="294">
        <f>AB49-V49</f>
        <v>97401</v>
      </c>
      <c r="Z49" s="294">
        <f>AC49-W49</f>
        <v>99187</v>
      </c>
      <c r="AA49" s="187">
        <f t="shared" si="5"/>
        <v>1.8</v>
      </c>
      <c r="AB49" s="606">
        <v>343948</v>
      </c>
      <c r="AC49" s="606">
        <v>345201</v>
      </c>
      <c r="AD49" s="187">
        <f t="shared" si="6"/>
        <v>0.4</v>
      </c>
      <c r="AE49" s="294">
        <f>AH49-AB49</f>
        <v>87659</v>
      </c>
      <c r="AF49" s="294">
        <f>AI49-AC49</f>
        <v>94429</v>
      </c>
      <c r="AG49" s="187">
        <f t="shared" si="7"/>
        <v>7.7</v>
      </c>
      <c r="AH49" s="606">
        <v>431607</v>
      </c>
      <c r="AI49" s="606">
        <v>439630</v>
      </c>
      <c r="AJ49" s="187">
        <f t="shared" si="8"/>
        <v>1.9</v>
      </c>
    </row>
    <row r="50" spans="1:36" ht="22.5" customHeight="1">
      <c r="A50" s="11"/>
      <c r="B50" s="820"/>
      <c r="C50" s="822"/>
      <c r="D50" s="347" t="s">
        <v>9</v>
      </c>
      <c r="E50" s="10">
        <f t="shared" ref="E50:G50" si="83">E49/E48*1000</f>
        <v>3781.9627794379089</v>
      </c>
      <c r="F50" s="10">
        <f t="shared" si="83"/>
        <v>3561.0696331781401</v>
      </c>
      <c r="G50" s="178">
        <f t="shared" si="83"/>
        <v>3282.005560631515</v>
      </c>
      <c r="H50" s="405">
        <f>H49/H48*1000</f>
        <v>3274.6888110475684</v>
      </c>
      <c r="I50" s="514">
        <f>I49/I48*1000</f>
        <v>3205.6047861392562</v>
      </c>
      <c r="J50" s="514">
        <f t="shared" ref="J50:K50" si="84">J49/J48*1000</f>
        <v>3595.3934282759169</v>
      </c>
      <c r="K50" s="514">
        <f t="shared" si="84"/>
        <v>3388.328272905876</v>
      </c>
      <c r="L50" s="188">
        <f t="shared" si="0"/>
        <v>-5.8</v>
      </c>
      <c r="M50" s="295">
        <f>M49/M48*1000</f>
        <v>3735.0079603750223</v>
      </c>
      <c r="N50" s="295">
        <f>N49/N48*1000</f>
        <v>3284.8359715531083</v>
      </c>
      <c r="O50" s="188">
        <f t="shared" si="1"/>
        <v>-12.1</v>
      </c>
      <c r="P50" s="514">
        <f>P49/P48*1000</f>
        <v>3651.6378839347221</v>
      </c>
      <c r="Q50" s="514">
        <f>Q49/Q48*1000</f>
        <v>3337.285872689009</v>
      </c>
      <c r="R50" s="188">
        <f t="shared" si="2"/>
        <v>-8.6</v>
      </c>
      <c r="S50" s="295">
        <f>S49/S48*1000</f>
        <v>3376.1547974103441</v>
      </c>
      <c r="T50" s="295">
        <f>T49/T48*1000</f>
        <v>3335.9062902024511</v>
      </c>
      <c r="U50" s="188">
        <f t="shared" si="3"/>
        <v>-1.2</v>
      </c>
      <c r="V50" s="514">
        <f>V49/V48*1000</f>
        <v>3542.8000747223059</v>
      </c>
      <c r="W50" s="514">
        <f t="shared" ref="W50" si="85">W49/W48*1000</f>
        <v>3336.7331714793368</v>
      </c>
      <c r="X50" s="188">
        <f t="shared" si="4"/>
        <v>-5.8</v>
      </c>
      <c r="Y50" s="295">
        <f>Y49/Y48*1000</f>
        <v>3014.9507831362598</v>
      </c>
      <c r="Z50" s="295">
        <f>Z49/Z48*1000</f>
        <v>3532.8038182077221</v>
      </c>
      <c r="AA50" s="188">
        <f t="shared" si="5"/>
        <v>17.2</v>
      </c>
      <c r="AB50" s="514">
        <f>AB49/AB48*1000</f>
        <v>3375.4477560674013</v>
      </c>
      <c r="AC50" s="514">
        <f t="shared" ref="AC50" si="86">AC49/AC48*1000</f>
        <v>3390.8059525563576</v>
      </c>
      <c r="AD50" s="188">
        <f t="shared" si="6"/>
        <v>0.5</v>
      </c>
      <c r="AE50" s="295">
        <f>AE49/AE48*1000</f>
        <v>2952.1772808406022</v>
      </c>
      <c r="AF50" s="295">
        <f>AF49/AF48*1000</f>
        <v>3512.4609433120072</v>
      </c>
      <c r="AG50" s="188">
        <f t="shared" si="7"/>
        <v>19</v>
      </c>
      <c r="AH50" s="514">
        <f>AH49/AH48*1000</f>
        <v>3279.9376852344403</v>
      </c>
      <c r="AI50" s="514">
        <f t="shared" ref="AI50" si="87">AI49/AI48*1000</f>
        <v>3416.2205005866858</v>
      </c>
      <c r="AJ50" s="188">
        <f t="shared" si="8"/>
        <v>4.2</v>
      </c>
    </row>
    <row r="51" spans="1:36" ht="22.5" customHeight="1">
      <c r="A51" s="11" t="s">
        <v>12</v>
      </c>
      <c r="B51" s="820" t="s">
        <v>16</v>
      </c>
      <c r="C51" s="822">
        <v>7607</v>
      </c>
      <c r="D51" s="694" t="s">
        <v>569</v>
      </c>
      <c r="E51" s="9">
        <v>46650</v>
      </c>
      <c r="F51" s="9">
        <v>56025</v>
      </c>
      <c r="G51" s="177">
        <v>70476</v>
      </c>
      <c r="H51" s="520">
        <v>70000</v>
      </c>
      <c r="I51" s="607">
        <v>72805</v>
      </c>
      <c r="J51" s="607">
        <v>5983</v>
      </c>
      <c r="K51" s="296">
        <v>5897</v>
      </c>
      <c r="L51" s="189">
        <f t="shared" si="0"/>
        <v>-1.4</v>
      </c>
      <c r="M51" s="296">
        <f>P51-J51</f>
        <v>4556</v>
      </c>
      <c r="N51" s="296">
        <f>Q51-K51</f>
        <v>6641</v>
      </c>
      <c r="O51" s="189">
        <f t="shared" si="1"/>
        <v>45.8</v>
      </c>
      <c r="P51" s="607">
        <v>10539</v>
      </c>
      <c r="Q51" s="607">
        <v>12538</v>
      </c>
      <c r="R51" s="189">
        <f t="shared" si="2"/>
        <v>19</v>
      </c>
      <c r="S51" s="296">
        <f>V51-P51</f>
        <v>7213</v>
      </c>
      <c r="T51" s="296">
        <f>W51-Q51</f>
        <v>8540</v>
      </c>
      <c r="U51" s="189">
        <f t="shared" si="3"/>
        <v>18.399999999999999</v>
      </c>
      <c r="V51" s="607">
        <v>17752</v>
      </c>
      <c r="W51" s="607">
        <v>21078</v>
      </c>
      <c r="X51" s="189">
        <f t="shared" si="4"/>
        <v>18.7</v>
      </c>
      <c r="Y51" s="296">
        <f>AB51-V51</f>
        <v>5773</v>
      </c>
      <c r="Z51" s="296">
        <f>AC51-W51</f>
        <v>7561</v>
      </c>
      <c r="AA51" s="189">
        <f t="shared" si="5"/>
        <v>31</v>
      </c>
      <c r="AB51" s="607">
        <v>23525</v>
      </c>
      <c r="AC51" s="607">
        <v>28639</v>
      </c>
      <c r="AD51" s="189">
        <f t="shared" si="6"/>
        <v>21.7</v>
      </c>
      <c r="AE51" s="296">
        <f>AH51-AB51</f>
        <v>5236</v>
      </c>
      <c r="AF51" s="296">
        <f>AI51-AC51</f>
        <v>7449</v>
      </c>
      <c r="AG51" s="189">
        <f t="shared" si="7"/>
        <v>42.3</v>
      </c>
      <c r="AH51" s="607">
        <v>28761</v>
      </c>
      <c r="AI51" s="607">
        <v>36088</v>
      </c>
      <c r="AJ51" s="189">
        <f t="shared" si="8"/>
        <v>25.5</v>
      </c>
    </row>
    <row r="52" spans="1:36" ht="22.5" customHeight="1">
      <c r="A52" s="11"/>
      <c r="B52" s="820"/>
      <c r="C52" s="822"/>
      <c r="D52" s="345" t="s">
        <v>8</v>
      </c>
      <c r="E52" s="5">
        <v>217666</v>
      </c>
      <c r="F52" s="5">
        <v>263811</v>
      </c>
      <c r="G52" s="174">
        <v>326532</v>
      </c>
      <c r="H52" s="401">
        <v>293395</v>
      </c>
      <c r="I52" s="606">
        <v>287749</v>
      </c>
      <c r="J52" s="606">
        <v>23148</v>
      </c>
      <c r="K52" s="294">
        <v>23660</v>
      </c>
      <c r="L52" s="187">
        <f t="shared" si="0"/>
        <v>2.2000000000000002</v>
      </c>
      <c r="M52" s="294">
        <f>P52-J52</f>
        <v>20973</v>
      </c>
      <c r="N52" s="294">
        <f>Q52-K52</f>
        <v>27684</v>
      </c>
      <c r="O52" s="187">
        <f t="shared" si="1"/>
        <v>32</v>
      </c>
      <c r="P52" s="606">
        <v>44121</v>
      </c>
      <c r="Q52" s="606">
        <v>51344</v>
      </c>
      <c r="R52" s="187">
        <f t="shared" si="2"/>
        <v>16.399999999999999</v>
      </c>
      <c r="S52" s="294">
        <f>V52-P52</f>
        <v>29356</v>
      </c>
      <c r="T52" s="294">
        <f>W52-Q52</f>
        <v>34883</v>
      </c>
      <c r="U52" s="187">
        <f t="shared" si="3"/>
        <v>18.8</v>
      </c>
      <c r="V52" s="606">
        <v>73477</v>
      </c>
      <c r="W52" s="606">
        <v>86227</v>
      </c>
      <c r="X52" s="187">
        <f t="shared" si="4"/>
        <v>17.399999999999999</v>
      </c>
      <c r="Y52" s="294">
        <f>AB52-V52</f>
        <v>24745</v>
      </c>
      <c r="Z52" s="294">
        <f>AC52-W52</f>
        <v>33348</v>
      </c>
      <c r="AA52" s="187">
        <f t="shared" si="5"/>
        <v>34.799999999999997</v>
      </c>
      <c r="AB52" s="606">
        <v>98222</v>
      </c>
      <c r="AC52" s="606">
        <v>119575</v>
      </c>
      <c r="AD52" s="187">
        <f t="shared" si="6"/>
        <v>21.7</v>
      </c>
      <c r="AE52" s="294">
        <f>AH52-AB52</f>
        <v>21254</v>
      </c>
      <c r="AF52" s="294">
        <f>AI52-AC52</f>
        <v>31337</v>
      </c>
      <c r="AG52" s="187">
        <f t="shared" si="7"/>
        <v>47.4</v>
      </c>
      <c r="AH52" s="606">
        <v>119476</v>
      </c>
      <c r="AI52" s="606">
        <v>150912</v>
      </c>
      <c r="AJ52" s="187">
        <f t="shared" si="8"/>
        <v>26.3</v>
      </c>
    </row>
    <row r="53" spans="1:36" ht="22.5" customHeight="1">
      <c r="A53" s="11"/>
      <c r="B53" s="820"/>
      <c r="C53" s="822"/>
      <c r="D53" s="347" t="s">
        <v>9</v>
      </c>
      <c r="E53" s="10">
        <f t="shared" ref="E53:G53" si="88">E52/E51*1000</f>
        <v>4665.9378349410499</v>
      </c>
      <c r="F53" s="10">
        <f t="shared" si="88"/>
        <v>4708.8085676037481</v>
      </c>
      <c r="G53" s="178">
        <f t="shared" si="88"/>
        <v>4633.2368465860718</v>
      </c>
      <c r="H53" s="405">
        <f>H52/H51*1000</f>
        <v>4191.3571428571431</v>
      </c>
      <c r="I53" s="514">
        <f>I52/I51*1000</f>
        <v>3952.3247029736972</v>
      </c>
      <c r="J53" s="514">
        <f t="shared" ref="J53:K53" si="89">J52/J51*1000</f>
        <v>3868.9620591676417</v>
      </c>
      <c r="K53" s="514">
        <f t="shared" si="89"/>
        <v>4012.2095981007292</v>
      </c>
      <c r="L53" s="188">
        <f t="shared" si="0"/>
        <v>3.7</v>
      </c>
      <c r="M53" s="295">
        <f>M52/M51*1000</f>
        <v>4603.3801580333629</v>
      </c>
      <c r="N53" s="295">
        <f>N52/N51*1000</f>
        <v>4168.6492998042468</v>
      </c>
      <c r="O53" s="188">
        <f t="shared" si="1"/>
        <v>-9.4</v>
      </c>
      <c r="P53" s="514">
        <f>P52/P51*1000</f>
        <v>4186.4503273555365</v>
      </c>
      <c r="Q53" s="514">
        <f>Q52/Q51*1000</f>
        <v>4095.0709842080073</v>
      </c>
      <c r="R53" s="188">
        <f t="shared" si="2"/>
        <v>-2.2000000000000002</v>
      </c>
      <c r="S53" s="295">
        <f>S52/S51*1000</f>
        <v>4069.8738389019827</v>
      </c>
      <c r="T53" s="295">
        <f>T52/T51*1000</f>
        <v>4084.6604215456673</v>
      </c>
      <c r="U53" s="188">
        <f t="shared" si="3"/>
        <v>0.4</v>
      </c>
      <c r="V53" s="514">
        <f>V52/V51*1000</f>
        <v>4139.0829202343393</v>
      </c>
      <c r="W53" s="514">
        <f t="shared" ref="W53" si="90">W52/W51*1000</f>
        <v>4090.8530221083597</v>
      </c>
      <c r="X53" s="188">
        <f t="shared" si="4"/>
        <v>-1.2</v>
      </c>
      <c r="Y53" s="295">
        <f>Y52/Y51*1000</f>
        <v>4286.3329291529535</v>
      </c>
      <c r="Z53" s="295">
        <f>Z52/Z51*1000</f>
        <v>4410.5277079751359</v>
      </c>
      <c r="AA53" s="188">
        <f t="shared" si="5"/>
        <v>2.9</v>
      </c>
      <c r="AB53" s="514">
        <f>AB52/AB51*1000</f>
        <v>4175.2178533475026</v>
      </c>
      <c r="AC53" s="514">
        <f t="shared" ref="AC53" si="91">AC52/AC51*1000</f>
        <v>4175.2505324906597</v>
      </c>
      <c r="AD53" s="188">
        <f t="shared" si="6"/>
        <v>0</v>
      </c>
      <c r="AE53" s="295">
        <f>AE52/AE51*1000</f>
        <v>4059.205500381971</v>
      </c>
      <c r="AF53" s="295">
        <f>AF52/AF51*1000</f>
        <v>4206.8734058262853</v>
      </c>
      <c r="AG53" s="188">
        <f t="shared" si="7"/>
        <v>3.6</v>
      </c>
      <c r="AH53" s="514">
        <f>AH52/AH51*1000</f>
        <v>4154.0975626716736</v>
      </c>
      <c r="AI53" s="514">
        <f t="shared" ref="AI53" si="92">AI52/AI51*1000</f>
        <v>4181.7778763023725</v>
      </c>
      <c r="AJ53" s="188">
        <f t="shared" si="8"/>
        <v>0.7</v>
      </c>
    </row>
    <row r="54" spans="1:36" ht="22.5" customHeight="1">
      <c r="A54" s="11"/>
      <c r="B54" s="820" t="s">
        <v>23</v>
      </c>
      <c r="C54" s="822">
        <v>7610</v>
      </c>
      <c r="D54" s="694" t="s">
        <v>569</v>
      </c>
      <c r="E54" s="9">
        <v>8741</v>
      </c>
      <c r="F54" s="9">
        <v>8837</v>
      </c>
      <c r="G54" s="177">
        <v>7823</v>
      </c>
      <c r="H54" s="520">
        <v>11317</v>
      </c>
      <c r="I54" s="607">
        <v>16093</v>
      </c>
      <c r="J54" s="607">
        <v>1134</v>
      </c>
      <c r="K54" s="296">
        <v>1361</v>
      </c>
      <c r="L54" s="189">
        <f t="shared" si="0"/>
        <v>20</v>
      </c>
      <c r="M54" s="296">
        <f>P54-J54</f>
        <v>1004</v>
      </c>
      <c r="N54" s="296">
        <f>Q54-K54</f>
        <v>1274</v>
      </c>
      <c r="O54" s="189">
        <f t="shared" si="1"/>
        <v>26.9</v>
      </c>
      <c r="P54" s="607">
        <v>2138</v>
      </c>
      <c r="Q54" s="450">
        <v>2635</v>
      </c>
      <c r="R54" s="189">
        <f t="shared" si="2"/>
        <v>23.2</v>
      </c>
      <c r="S54" s="296">
        <f>V54-P54</f>
        <v>1325</v>
      </c>
      <c r="T54" s="296">
        <f>W54-Q54</f>
        <v>1369</v>
      </c>
      <c r="U54" s="189">
        <f t="shared" si="3"/>
        <v>3.3</v>
      </c>
      <c r="V54" s="607">
        <v>3463</v>
      </c>
      <c r="W54" s="607">
        <v>4004</v>
      </c>
      <c r="X54" s="189">
        <f t="shared" si="4"/>
        <v>15.6</v>
      </c>
      <c r="Y54" s="296">
        <f>AB54-V54</f>
        <v>1172</v>
      </c>
      <c r="Z54" s="296">
        <f>AC54-W54</f>
        <v>1407</v>
      </c>
      <c r="AA54" s="189">
        <f t="shared" si="5"/>
        <v>20.100000000000001</v>
      </c>
      <c r="AB54" s="450">
        <v>4635</v>
      </c>
      <c r="AC54" s="607">
        <v>5411</v>
      </c>
      <c r="AD54" s="189">
        <f t="shared" si="6"/>
        <v>16.7</v>
      </c>
      <c r="AE54" s="296">
        <f>AH54-AB54</f>
        <v>1414</v>
      </c>
      <c r="AF54" s="296">
        <f>AI54-AC54</f>
        <v>1531</v>
      </c>
      <c r="AG54" s="189">
        <f t="shared" si="7"/>
        <v>8.3000000000000007</v>
      </c>
      <c r="AH54" s="450">
        <v>6049</v>
      </c>
      <c r="AI54" s="607">
        <v>6942</v>
      </c>
      <c r="AJ54" s="189">
        <f t="shared" si="8"/>
        <v>14.8</v>
      </c>
    </row>
    <row r="55" spans="1:36" ht="22.5" customHeight="1">
      <c r="A55" s="11"/>
      <c r="B55" s="820"/>
      <c r="C55" s="822"/>
      <c r="D55" s="345" t="s">
        <v>8</v>
      </c>
      <c r="E55" s="5">
        <v>85992</v>
      </c>
      <c r="F55" s="5">
        <v>61408</v>
      </c>
      <c r="G55" s="174">
        <v>55949</v>
      </c>
      <c r="H55" s="401">
        <v>65120</v>
      </c>
      <c r="I55" s="606">
        <v>75796</v>
      </c>
      <c r="J55" s="606">
        <v>4985</v>
      </c>
      <c r="K55" s="294">
        <v>6747</v>
      </c>
      <c r="L55" s="187">
        <f t="shared" si="0"/>
        <v>35.299999999999997</v>
      </c>
      <c r="M55" s="293">
        <f>P55-J55</f>
        <v>5186</v>
      </c>
      <c r="N55" s="293">
        <f>Q55-K55</f>
        <v>6113</v>
      </c>
      <c r="O55" s="186">
        <f t="shared" si="1"/>
        <v>17.899999999999999</v>
      </c>
      <c r="P55" s="606">
        <v>10171</v>
      </c>
      <c r="Q55" s="519">
        <v>12860</v>
      </c>
      <c r="R55" s="187">
        <f t="shared" si="2"/>
        <v>26.4</v>
      </c>
      <c r="S55" s="293">
        <f>V55-P55</f>
        <v>5942</v>
      </c>
      <c r="T55" s="293">
        <f>W55-Q55</f>
        <v>6315</v>
      </c>
      <c r="U55" s="186">
        <f t="shared" si="3"/>
        <v>6.3</v>
      </c>
      <c r="V55" s="606">
        <v>16113</v>
      </c>
      <c r="W55" s="606">
        <v>19175</v>
      </c>
      <c r="X55" s="187">
        <f t="shared" si="4"/>
        <v>19</v>
      </c>
      <c r="Y55" s="293">
        <f>AB55-V55</f>
        <v>5720</v>
      </c>
      <c r="Z55" s="293">
        <f>AC55-W55</f>
        <v>6802</v>
      </c>
      <c r="AA55" s="186">
        <f t="shared" si="5"/>
        <v>18.899999999999999</v>
      </c>
      <c r="AB55" s="519">
        <v>21833</v>
      </c>
      <c r="AC55" s="606">
        <v>25977</v>
      </c>
      <c r="AD55" s="187">
        <f t="shared" si="6"/>
        <v>19</v>
      </c>
      <c r="AE55" s="293">
        <f>AH55-AB55</f>
        <v>5799</v>
      </c>
      <c r="AF55" s="293">
        <f>AI55-AC55</f>
        <v>6869</v>
      </c>
      <c r="AG55" s="186">
        <f t="shared" si="7"/>
        <v>18.5</v>
      </c>
      <c r="AH55" s="519">
        <v>27632</v>
      </c>
      <c r="AI55" s="606">
        <v>32846</v>
      </c>
      <c r="AJ55" s="187">
        <f t="shared" si="8"/>
        <v>18.899999999999999</v>
      </c>
    </row>
    <row r="56" spans="1:36" ht="22.5" customHeight="1">
      <c r="A56" s="11"/>
      <c r="B56" s="820"/>
      <c r="C56" s="822"/>
      <c r="D56" s="347" t="s">
        <v>9</v>
      </c>
      <c r="E56" s="10">
        <f t="shared" ref="E56:G56" si="93">E55/E54*1000</f>
        <v>9837.7759981695453</v>
      </c>
      <c r="F56" s="10">
        <f t="shared" si="93"/>
        <v>6948.9645807400702</v>
      </c>
      <c r="G56" s="178">
        <f t="shared" si="93"/>
        <v>7151.8599002940045</v>
      </c>
      <c r="H56" s="405">
        <f>H55/H54*1000</f>
        <v>5754.1751347530262</v>
      </c>
      <c r="I56" s="514">
        <f>I55/I54*1000</f>
        <v>4709.8738581992175</v>
      </c>
      <c r="J56" s="514">
        <f t="shared" ref="J56:K56" si="94">J55/J54*1000</f>
        <v>4395.9435626102295</v>
      </c>
      <c r="K56" s="514">
        <f t="shared" si="94"/>
        <v>4957.3842762674503</v>
      </c>
      <c r="L56" s="188">
        <f t="shared" si="0"/>
        <v>12.8</v>
      </c>
      <c r="M56" s="295">
        <f>M55/M54*1000</f>
        <v>5165.3386454183274</v>
      </c>
      <c r="N56" s="295">
        <f>N55/N54*1000</f>
        <v>4798.2731554160127</v>
      </c>
      <c r="O56" s="188">
        <f t="shared" si="1"/>
        <v>-7.1</v>
      </c>
      <c r="P56" s="514">
        <f>P55/P54*1000</f>
        <v>4757.249766136576</v>
      </c>
      <c r="Q56" s="514">
        <f>Q55/Q54*1000</f>
        <v>4880.45540796964</v>
      </c>
      <c r="R56" s="188">
        <f t="shared" si="2"/>
        <v>2.6</v>
      </c>
      <c r="S56" s="295">
        <f>S55/S54*1000</f>
        <v>4484.5283018867922</v>
      </c>
      <c r="T56" s="295">
        <f>T55/T54*1000</f>
        <v>4612.8560993425854</v>
      </c>
      <c r="U56" s="188">
        <f t="shared" si="3"/>
        <v>2.9</v>
      </c>
      <c r="V56" s="514">
        <f>V55/V54*1000</f>
        <v>4652.9021079988443</v>
      </c>
      <c r="W56" s="514">
        <f t="shared" ref="W56" si="95">W55/W54*1000</f>
        <v>4788.9610389610389</v>
      </c>
      <c r="X56" s="188">
        <f t="shared" si="4"/>
        <v>2.9</v>
      </c>
      <c r="Y56" s="295">
        <f>Y55/Y54*1000</f>
        <v>4880.5460750853244</v>
      </c>
      <c r="Z56" s="295">
        <f>Z55/Z54*1000</f>
        <v>4834.3994314143574</v>
      </c>
      <c r="AA56" s="188">
        <f t="shared" si="5"/>
        <v>-0.9</v>
      </c>
      <c r="AB56" s="514">
        <f>AB55/AB54*1000</f>
        <v>4710.4638619201723</v>
      </c>
      <c r="AC56" s="514">
        <f t="shared" ref="AC56" si="96">AC55/AC54*1000</f>
        <v>4800.7761966364815</v>
      </c>
      <c r="AD56" s="188">
        <f t="shared" si="6"/>
        <v>1.9</v>
      </c>
      <c r="AE56" s="295">
        <f>AE55/AE54*1000</f>
        <v>4101.131541725601</v>
      </c>
      <c r="AF56" s="295">
        <f>AF55/AF54*1000</f>
        <v>4486.6100587851079</v>
      </c>
      <c r="AG56" s="188">
        <f t="shared" si="7"/>
        <v>9.4</v>
      </c>
      <c r="AH56" s="514">
        <f>AH55/AH54*1000</f>
        <v>4568.0277731856504</v>
      </c>
      <c r="AI56" s="514">
        <f t="shared" ref="AI56" si="97">AI55/AI54*1000</f>
        <v>4731.4894842984731</v>
      </c>
      <c r="AJ56" s="188">
        <f t="shared" si="8"/>
        <v>3.6</v>
      </c>
    </row>
    <row r="57" spans="1:36" ht="22.5" customHeight="1">
      <c r="A57" s="11"/>
      <c r="B57" s="829" t="s">
        <v>24</v>
      </c>
      <c r="C57" s="822">
        <v>7615</v>
      </c>
      <c r="D57" s="694" t="s">
        <v>569</v>
      </c>
      <c r="E57" s="9">
        <v>7575</v>
      </c>
      <c r="F57" s="9">
        <v>9539</v>
      </c>
      <c r="G57" s="177">
        <v>11388</v>
      </c>
      <c r="H57" s="520">
        <v>12132</v>
      </c>
      <c r="I57" s="607">
        <v>14156</v>
      </c>
      <c r="J57" s="607">
        <v>1308</v>
      </c>
      <c r="K57" s="296">
        <v>1335</v>
      </c>
      <c r="L57" s="189">
        <f t="shared" si="0"/>
        <v>2.1</v>
      </c>
      <c r="M57" s="296">
        <f>P57-J57</f>
        <v>647</v>
      </c>
      <c r="N57" s="296">
        <f>Q57-K57</f>
        <v>1156</v>
      </c>
      <c r="O57" s="189">
        <f t="shared" si="1"/>
        <v>78.7</v>
      </c>
      <c r="P57" s="607">
        <v>1955</v>
      </c>
      <c r="Q57" s="607">
        <v>2491</v>
      </c>
      <c r="R57" s="189">
        <f t="shared" si="2"/>
        <v>27.4</v>
      </c>
      <c r="S57" s="296">
        <f>V57-P57</f>
        <v>914</v>
      </c>
      <c r="T57" s="296">
        <f>W57-Q57</f>
        <v>1093</v>
      </c>
      <c r="U57" s="189">
        <f t="shared" si="3"/>
        <v>19.600000000000001</v>
      </c>
      <c r="V57" s="607">
        <v>2869</v>
      </c>
      <c r="W57" s="607">
        <v>3584</v>
      </c>
      <c r="X57" s="189">
        <f t="shared" si="4"/>
        <v>24.9</v>
      </c>
      <c r="Y57" s="296">
        <f>AB57-V57</f>
        <v>1153</v>
      </c>
      <c r="Z57" s="296">
        <f>AC57-W57</f>
        <v>1325</v>
      </c>
      <c r="AA57" s="189">
        <f t="shared" si="5"/>
        <v>14.9</v>
      </c>
      <c r="AB57" s="607">
        <v>4022</v>
      </c>
      <c r="AC57" s="607">
        <v>4909</v>
      </c>
      <c r="AD57" s="189">
        <f t="shared" si="6"/>
        <v>22.1</v>
      </c>
      <c r="AE57" s="296">
        <f>AH57-AB57</f>
        <v>1209</v>
      </c>
      <c r="AF57" s="296">
        <f>AI57-AC57</f>
        <v>1155</v>
      </c>
      <c r="AG57" s="189">
        <f t="shared" si="7"/>
        <v>-4.5</v>
      </c>
      <c r="AH57" s="607">
        <v>5231</v>
      </c>
      <c r="AI57" s="607">
        <v>6064</v>
      </c>
      <c r="AJ57" s="189">
        <f t="shared" si="8"/>
        <v>15.9</v>
      </c>
    </row>
    <row r="58" spans="1:36" ht="22.5" customHeight="1">
      <c r="A58" s="11"/>
      <c r="B58" s="820"/>
      <c r="C58" s="822"/>
      <c r="D58" s="345" t="s">
        <v>8</v>
      </c>
      <c r="E58" s="5">
        <v>69974</v>
      </c>
      <c r="F58" s="5">
        <v>81900</v>
      </c>
      <c r="G58" s="174">
        <v>103882</v>
      </c>
      <c r="H58" s="401">
        <v>96336</v>
      </c>
      <c r="I58" s="449">
        <v>106283</v>
      </c>
      <c r="J58" s="606">
        <v>9862</v>
      </c>
      <c r="K58" s="294">
        <v>10757</v>
      </c>
      <c r="L58" s="187">
        <f t="shared" si="0"/>
        <v>9.1</v>
      </c>
      <c r="M58" s="294">
        <f>P58-J58</f>
        <v>5034</v>
      </c>
      <c r="N58" s="294">
        <f>Q58-K58</f>
        <v>9150</v>
      </c>
      <c r="O58" s="187">
        <f t="shared" si="1"/>
        <v>81.8</v>
      </c>
      <c r="P58" s="449">
        <v>14896</v>
      </c>
      <c r="Q58" s="606">
        <v>19907</v>
      </c>
      <c r="R58" s="187">
        <f t="shared" si="2"/>
        <v>33.6</v>
      </c>
      <c r="S58" s="294">
        <f>V58-P58</f>
        <v>7349</v>
      </c>
      <c r="T58" s="294">
        <f>W58-Q58</f>
        <v>7929</v>
      </c>
      <c r="U58" s="187">
        <f t="shared" si="3"/>
        <v>7.9</v>
      </c>
      <c r="V58" s="449">
        <v>22245</v>
      </c>
      <c r="W58" s="606">
        <v>27836</v>
      </c>
      <c r="X58" s="187">
        <f t="shared" si="4"/>
        <v>25.1</v>
      </c>
      <c r="Y58" s="294">
        <f>AB58-V58</f>
        <v>8621</v>
      </c>
      <c r="Z58" s="294">
        <f>AC58-W58</f>
        <v>11579</v>
      </c>
      <c r="AA58" s="187">
        <f t="shared" si="5"/>
        <v>34.299999999999997</v>
      </c>
      <c r="AB58" s="606">
        <v>30866</v>
      </c>
      <c r="AC58" s="606">
        <v>39415</v>
      </c>
      <c r="AD58" s="187">
        <f t="shared" si="6"/>
        <v>27.7</v>
      </c>
      <c r="AE58" s="294">
        <f>AH58-AB58</f>
        <v>8299</v>
      </c>
      <c r="AF58" s="294">
        <f>AI58-AC58</f>
        <v>9626</v>
      </c>
      <c r="AG58" s="187">
        <f t="shared" si="7"/>
        <v>16</v>
      </c>
      <c r="AH58" s="606">
        <v>39165</v>
      </c>
      <c r="AI58" s="606">
        <v>49041</v>
      </c>
      <c r="AJ58" s="187">
        <f t="shared" si="8"/>
        <v>25.2</v>
      </c>
    </row>
    <row r="59" spans="1:36" ht="22.5" customHeight="1">
      <c r="A59" s="11"/>
      <c r="B59" s="820"/>
      <c r="C59" s="822"/>
      <c r="D59" s="347" t="s">
        <v>9</v>
      </c>
      <c r="E59" s="10">
        <f t="shared" ref="E59:G59" si="98">E58/E57*1000</f>
        <v>9237.4917491749184</v>
      </c>
      <c r="F59" s="10">
        <f t="shared" si="98"/>
        <v>8585.8056400041933</v>
      </c>
      <c r="G59" s="178">
        <f t="shared" si="98"/>
        <v>9122.0583069898148</v>
      </c>
      <c r="H59" s="405">
        <f>H58/H57*1000</f>
        <v>7940.6528189910978</v>
      </c>
      <c r="I59" s="514">
        <f>I58/I57*1000</f>
        <v>7507.9824809268157</v>
      </c>
      <c r="J59" s="514">
        <f t="shared" ref="J59:K59" si="99">J58/J57*1000</f>
        <v>7539.7553516819571</v>
      </c>
      <c r="K59" s="514">
        <f t="shared" si="99"/>
        <v>8057.6779026217228</v>
      </c>
      <c r="L59" s="188">
        <f t="shared" si="0"/>
        <v>6.9</v>
      </c>
      <c r="M59" s="295">
        <f>M58/M57*1000</f>
        <v>7780.5255023183927</v>
      </c>
      <c r="N59" s="295">
        <f>N58/N57*1000</f>
        <v>7915.2249134948097</v>
      </c>
      <c r="O59" s="188">
        <f t="shared" si="1"/>
        <v>1.7</v>
      </c>
      <c r="P59" s="514">
        <f>P58/P57*1000</f>
        <v>7619.4373401534522</v>
      </c>
      <c r="Q59" s="514">
        <f>Q58/Q57*1000</f>
        <v>7991.5696507426728</v>
      </c>
      <c r="R59" s="188">
        <f t="shared" si="2"/>
        <v>4.9000000000000004</v>
      </c>
      <c r="S59" s="295">
        <f>S58/S57*1000</f>
        <v>8040.4814004376367</v>
      </c>
      <c r="T59" s="295">
        <f>T58/T57*1000</f>
        <v>7254.3458371454708</v>
      </c>
      <c r="U59" s="188">
        <f t="shared" si="3"/>
        <v>-9.8000000000000007</v>
      </c>
      <c r="V59" s="514">
        <f>V58/V57*1000</f>
        <v>7753.5726734053678</v>
      </c>
      <c r="W59" s="514">
        <f t="shared" ref="W59" si="100">W58/W57*1000</f>
        <v>7766.7410714285716</v>
      </c>
      <c r="X59" s="188">
        <f t="shared" si="4"/>
        <v>0.2</v>
      </c>
      <c r="Y59" s="295">
        <f>Y58/Y57*1000</f>
        <v>7477.0164787510839</v>
      </c>
      <c r="Z59" s="295">
        <f>Z58/Z57*1000</f>
        <v>8738.867924528302</v>
      </c>
      <c r="AA59" s="188">
        <f t="shared" si="5"/>
        <v>16.899999999999999</v>
      </c>
      <c r="AB59" s="514">
        <f>AB58/AB57*1000</f>
        <v>7674.2913973147688</v>
      </c>
      <c r="AC59" s="514">
        <f t="shared" ref="AC59" si="101">AC58/AC57*1000</f>
        <v>8029.1301690772061</v>
      </c>
      <c r="AD59" s="188">
        <f t="shared" si="6"/>
        <v>4.5999999999999996</v>
      </c>
      <c r="AE59" s="295">
        <f>AE58/AE57*1000</f>
        <v>6864.3507030603805</v>
      </c>
      <c r="AF59" s="295">
        <f>AF58/AF57*1000</f>
        <v>8334.1991341991343</v>
      </c>
      <c r="AG59" s="188">
        <f t="shared" si="7"/>
        <v>21.4</v>
      </c>
      <c r="AH59" s="514">
        <f>AH58/AH57*1000</f>
        <v>7487.0961575224619</v>
      </c>
      <c r="AI59" s="514">
        <f t="shared" ref="AI59" si="102">AI58/AI57*1000</f>
        <v>8087.2361477572558</v>
      </c>
      <c r="AJ59" s="188">
        <f t="shared" si="8"/>
        <v>8</v>
      </c>
    </row>
    <row r="60" spans="1:36" ht="22.5" customHeight="1">
      <c r="A60" s="11"/>
      <c r="B60" s="820" t="s">
        <v>18</v>
      </c>
      <c r="C60" s="822"/>
      <c r="D60" s="694" t="s">
        <v>569</v>
      </c>
      <c r="E60" s="9">
        <f t="shared" ref="E60:F61" si="103">E63-SUM(E36+E39+E42+E45+E48+E51+E54+E57)</f>
        <v>761867</v>
      </c>
      <c r="F60" s="9">
        <f t="shared" si="103"/>
        <v>855710</v>
      </c>
      <c r="G60" s="177">
        <f t="shared" ref="G60:G61" si="104">G63-SUM(G36+G39+G42+G45+G48+G51+G54+G57)</f>
        <v>845314</v>
      </c>
      <c r="H60" s="520">
        <f>H63-SUM(H36+H39+H42+H45+H48+H51+H54+H57)</f>
        <v>954520</v>
      </c>
      <c r="I60" s="607">
        <f>I63-SUM(I36+I39+I42+I45+I48+I51+I54+I57)</f>
        <v>1019989</v>
      </c>
      <c r="J60" s="607">
        <f t="shared" ref="J60:K60" si="105">J63-SUM(J36+J39+J42+J45+J48+J51+J54+J57)</f>
        <v>82376</v>
      </c>
      <c r="K60" s="607">
        <f t="shared" si="105"/>
        <v>81180</v>
      </c>
      <c r="L60" s="189">
        <f t="shared" si="0"/>
        <v>-1.5</v>
      </c>
      <c r="M60" s="296">
        <f>M63-SUM(M36+M39+M42+M45+M48+M51+M54+M57)</f>
        <v>79894</v>
      </c>
      <c r="N60" s="296">
        <f>N63-SUM(N36+N39+N42+N45+N48+N51+N54+N57)</f>
        <v>85947</v>
      </c>
      <c r="O60" s="189">
        <f t="shared" si="1"/>
        <v>7.6</v>
      </c>
      <c r="P60" s="607">
        <f>P63-SUM(P36+P39+P42+P45+P48+P51+P54+P57)</f>
        <v>162270</v>
      </c>
      <c r="Q60" s="607">
        <f>Q63-SUM(Q36+Q39+Q42+Q45+Q48+Q51+Q54+Q57)</f>
        <v>167127</v>
      </c>
      <c r="R60" s="189">
        <f t="shared" si="2"/>
        <v>3</v>
      </c>
      <c r="S60" s="296">
        <f>S63-SUM(S36+S39+S42+S45+S48+S51+S54+S57)</f>
        <v>81074</v>
      </c>
      <c r="T60" s="296">
        <f>T63-SUM(T36+T39+T42+T45+T48+T51+T54+T57)</f>
        <v>109670</v>
      </c>
      <c r="U60" s="189">
        <f t="shared" si="3"/>
        <v>35.299999999999997</v>
      </c>
      <c r="V60" s="607">
        <f>V63-SUM(V36+V39+V42+V45+V48+V51+V54+V57)</f>
        <v>243344</v>
      </c>
      <c r="W60" s="607">
        <f>W63-SUM(W36+W39+W42+W45+W48+W51+W54+W57)</f>
        <v>276797</v>
      </c>
      <c r="X60" s="189">
        <f t="shared" si="4"/>
        <v>13.7</v>
      </c>
      <c r="Y60" s="296">
        <f>Y63-SUM(Y36+Y39+Y42+Y45+Y48+Y51+Y54+Y57)</f>
        <v>88851</v>
      </c>
      <c r="Z60" s="296">
        <f>Z63-SUM(Z36+Z39+Z42+Z45+Z48+Z51+Z54+Z57)</f>
        <v>98199</v>
      </c>
      <c r="AA60" s="189">
        <f t="shared" si="5"/>
        <v>10.5</v>
      </c>
      <c r="AB60" s="607">
        <f>AB63-SUM(AB36+AB39+AB42+AB45+AB48+AB51+AB54+AB57)</f>
        <v>332195</v>
      </c>
      <c r="AC60" s="607">
        <f>AC63-SUM(AC36+AC39+AC42+AC45+AC48+AC51+AC54+AC57)</f>
        <v>374996</v>
      </c>
      <c r="AD60" s="189">
        <f t="shared" si="6"/>
        <v>12.9</v>
      </c>
      <c r="AE60" s="296">
        <f>AE63-SUM(AE36+AE39+AE42+AE45+AE48+AE51+AE54+AE57)</f>
        <v>78817</v>
      </c>
      <c r="AF60" s="296">
        <f>AF63-SUM(AF36+AF39+AF42+AF45+AF48+AF51+AF54+AF57)</f>
        <v>92865</v>
      </c>
      <c r="AG60" s="189">
        <f t="shared" si="7"/>
        <v>17.8</v>
      </c>
      <c r="AH60" s="607">
        <f>AH63-SUM(AH36+AH39+AH42+AH45+AH48+AH51+AH54+AH57)</f>
        <v>411012</v>
      </c>
      <c r="AI60" s="607">
        <f>AI63-SUM(AI36+AI39+AI42+AI45+AI48+AI51+AI54+AI57)</f>
        <v>467861</v>
      </c>
      <c r="AJ60" s="189">
        <f t="shared" si="8"/>
        <v>13.8</v>
      </c>
    </row>
    <row r="61" spans="1:36" ht="22.5" customHeight="1">
      <c r="A61" s="11"/>
      <c r="B61" s="820"/>
      <c r="C61" s="822"/>
      <c r="D61" s="345" t="s">
        <v>8</v>
      </c>
      <c r="E61" s="5">
        <f t="shared" si="103"/>
        <v>1275843</v>
      </c>
      <c r="F61" s="5">
        <f t="shared" si="103"/>
        <v>1568627</v>
      </c>
      <c r="G61" s="174">
        <f t="shared" si="104"/>
        <v>1675236</v>
      </c>
      <c r="H61" s="401">
        <f>H64-SUM(H37+H40+H43+H46+H49+H52+H55+H58)</f>
        <v>1586588</v>
      </c>
      <c r="I61" s="606">
        <f>I64-SUM(I37+I40+I43+I46+I49+I52+I55+I58)</f>
        <v>1633138</v>
      </c>
      <c r="J61" s="606">
        <f t="shared" ref="J61:K61" si="106">J64-SUM(J37+J40+J43+J46+J49+J52+J55+J58)</f>
        <v>124631</v>
      </c>
      <c r="K61" s="606">
        <f t="shared" si="106"/>
        <v>151871</v>
      </c>
      <c r="L61" s="187">
        <f t="shared" si="0"/>
        <v>21.9</v>
      </c>
      <c r="M61" s="294">
        <f>M64-SUM(M37+M40+M43+M46+M49+M52+M55+M58)</f>
        <v>121238</v>
      </c>
      <c r="N61" s="294">
        <f>N64-SUM(N37+N40+N43+N46+N49+N52+N55+N58)</f>
        <v>167058</v>
      </c>
      <c r="O61" s="187">
        <f t="shared" si="1"/>
        <v>37.799999999999997</v>
      </c>
      <c r="P61" s="606">
        <f>P64-SUM(P37+P40+P43+P46+P49+P52+P55+P58)</f>
        <v>245869</v>
      </c>
      <c r="Q61" s="606">
        <f>Q64-SUM(Q37+Q40+Q43+Q46+Q49+Q52+Q55+Q58)</f>
        <v>318929</v>
      </c>
      <c r="R61" s="187">
        <f t="shared" si="2"/>
        <v>29.7</v>
      </c>
      <c r="S61" s="294">
        <f>S64-SUM(S37+S40+S43+S46+S49+S52+S55+S58)</f>
        <v>135704</v>
      </c>
      <c r="T61" s="294">
        <f>T64-SUM(T37+T40+T43+T46+T49+T52+T55+T58)</f>
        <v>224315</v>
      </c>
      <c r="U61" s="187">
        <f t="shared" si="3"/>
        <v>65.3</v>
      </c>
      <c r="V61" s="606">
        <f>V64-SUM(V37+V40+V43+V46+V49+V52+V55+V58)</f>
        <v>381573</v>
      </c>
      <c r="W61" s="606">
        <f>W64-SUM(W37+W40+W43+W46+W49+W52+W55+W58)</f>
        <v>543244</v>
      </c>
      <c r="X61" s="187">
        <f t="shared" si="4"/>
        <v>42.4</v>
      </c>
      <c r="Y61" s="294">
        <f>Y64-SUM(Y37+Y40+Y43+Y46+Y49+Y52+Y55+Y58)</f>
        <v>138843</v>
      </c>
      <c r="Z61" s="294">
        <f>Z64-SUM(Z37+Z40+Z43+Z46+Z49+Z52+Z55+Z58)</f>
        <v>207151</v>
      </c>
      <c r="AA61" s="187">
        <f t="shared" si="5"/>
        <v>49.2</v>
      </c>
      <c r="AB61" s="606">
        <f>AB64-SUM(AB37+AB40+AB43+AB46+AB49+AB52+AB55+AB58)</f>
        <v>520416</v>
      </c>
      <c r="AC61" s="606">
        <f>AC64-SUM(AC37+AC40+AC43+AC46+AC49+AC52+AC55+AC58)</f>
        <v>750395</v>
      </c>
      <c r="AD61" s="187">
        <f t="shared" si="6"/>
        <v>44.2</v>
      </c>
      <c r="AE61" s="294">
        <f>AE64-SUM(AE37+AE40+AE43+AE46+AE49+AE52+AE55+AE58)</f>
        <v>125126</v>
      </c>
      <c r="AF61" s="294">
        <f>AF64-SUM(AF37+AF40+AF43+AF46+AF49+AF52+AF55+AF58)</f>
        <v>196596</v>
      </c>
      <c r="AG61" s="187">
        <f t="shared" si="7"/>
        <v>57.1</v>
      </c>
      <c r="AH61" s="606">
        <f>AH64-SUM(AH37+AH40+AH43+AH46+AH49+AH52+AH55+AH58)</f>
        <v>645542</v>
      </c>
      <c r="AI61" s="606">
        <f>AI64-SUM(AI37+AI40+AI43+AI46+AI49+AI52+AI55+AI58)</f>
        <v>946991</v>
      </c>
      <c r="AJ61" s="187">
        <f t="shared" si="8"/>
        <v>46.7</v>
      </c>
    </row>
    <row r="62" spans="1:36" ht="22.5" customHeight="1">
      <c r="A62" s="11"/>
      <c r="B62" s="820"/>
      <c r="C62" s="822"/>
      <c r="D62" s="347" t="s">
        <v>9</v>
      </c>
      <c r="E62" s="10">
        <f t="shared" ref="E62:G62" si="107">E61/E60*1000</f>
        <v>1674.6269361975253</v>
      </c>
      <c r="F62" s="10">
        <f t="shared" si="107"/>
        <v>1833.1292143366327</v>
      </c>
      <c r="G62" s="178">
        <f t="shared" si="107"/>
        <v>1981.7913816640917</v>
      </c>
      <c r="H62" s="405">
        <f>H61/H60*1000</f>
        <v>1662.1841344340612</v>
      </c>
      <c r="I62" s="514">
        <f>I61/I60*1000</f>
        <v>1601.1329533945955</v>
      </c>
      <c r="J62" s="514">
        <f t="shared" ref="J62:K62" si="108">J61/J60*1000</f>
        <v>1512.9528017869281</v>
      </c>
      <c r="K62" s="514">
        <f t="shared" si="108"/>
        <v>1870.7932988420791</v>
      </c>
      <c r="L62" s="188">
        <f t="shared" si="0"/>
        <v>23.7</v>
      </c>
      <c r="M62" s="295">
        <f>M61/M60*1000</f>
        <v>1517.4856685107768</v>
      </c>
      <c r="N62" s="295">
        <f>N61/N60*1000</f>
        <v>1943.7327655415545</v>
      </c>
      <c r="O62" s="188">
        <f t="shared" si="1"/>
        <v>28.1</v>
      </c>
      <c r="P62" s="514">
        <f>P61/P60*1000</f>
        <v>1515.1845689283293</v>
      </c>
      <c r="Q62" s="514">
        <f>Q61/Q60*1000</f>
        <v>1908.3032663782633</v>
      </c>
      <c r="R62" s="188">
        <f t="shared" si="2"/>
        <v>25.9</v>
      </c>
      <c r="S62" s="295">
        <f>S61/S60*1000</f>
        <v>1673.8288477193676</v>
      </c>
      <c r="T62" s="295">
        <f>T61/T60*1000</f>
        <v>2045.3633628157197</v>
      </c>
      <c r="U62" s="188">
        <f t="shared" si="3"/>
        <v>22.2</v>
      </c>
      <c r="V62" s="514">
        <f>V61/V60*1000</f>
        <v>1568.0394832007364</v>
      </c>
      <c r="W62" s="514">
        <f t="shared" ref="W62" si="109">W61/W60*1000</f>
        <v>1962.607976242517</v>
      </c>
      <c r="X62" s="188">
        <f t="shared" si="4"/>
        <v>25.2</v>
      </c>
      <c r="Y62" s="295">
        <f>Y61/Y60*1000</f>
        <v>1562.6498294898201</v>
      </c>
      <c r="Z62" s="295">
        <f>Z61/Z60*1000</f>
        <v>2109.5021334229473</v>
      </c>
      <c r="AA62" s="188">
        <f t="shared" si="5"/>
        <v>35</v>
      </c>
      <c r="AB62" s="514">
        <f>AB61/AB60*1000</f>
        <v>1566.5979319375667</v>
      </c>
      <c r="AC62" s="514">
        <f t="shared" ref="AC62" si="110">AC61/AC60*1000</f>
        <v>2001.0746781299003</v>
      </c>
      <c r="AD62" s="188">
        <f t="shared" si="6"/>
        <v>27.7</v>
      </c>
      <c r="AE62" s="295">
        <f>AE61/AE60*1000</f>
        <v>1587.5509090678408</v>
      </c>
      <c r="AF62" s="295">
        <f>AF61/AF60*1000</f>
        <v>2117.0085608140853</v>
      </c>
      <c r="AG62" s="188">
        <f t="shared" si="7"/>
        <v>33.4</v>
      </c>
      <c r="AH62" s="514">
        <f>AH61/AH60*1000</f>
        <v>1570.6159430868199</v>
      </c>
      <c r="AI62" s="514">
        <f t="shared" ref="AI62" si="111">AI61/AI60*1000</f>
        <v>2024.0862136403762</v>
      </c>
      <c r="AJ62" s="188">
        <f t="shared" si="8"/>
        <v>28.9</v>
      </c>
    </row>
    <row r="63" spans="1:36" ht="22.5" customHeight="1">
      <c r="A63" s="11"/>
      <c r="B63" s="824" t="s">
        <v>19</v>
      </c>
      <c r="C63" s="825"/>
      <c r="D63" s="12" t="s">
        <v>569</v>
      </c>
      <c r="E63" s="13">
        <v>2710289</v>
      </c>
      <c r="F63" s="13">
        <v>2860037</v>
      </c>
      <c r="G63" s="179">
        <v>2829768</v>
      </c>
      <c r="H63" s="406">
        <v>2941636</v>
      </c>
      <c r="I63" s="521">
        <v>2850552</v>
      </c>
      <c r="J63" s="521">
        <v>242620</v>
      </c>
      <c r="K63" s="298">
        <v>249442</v>
      </c>
      <c r="L63" s="191">
        <f t="shared" si="0"/>
        <v>2.8</v>
      </c>
      <c r="M63" s="298">
        <f>P63-J63</f>
        <v>215989</v>
      </c>
      <c r="N63" s="298">
        <f>Q63-K63</f>
        <v>229098</v>
      </c>
      <c r="O63" s="191">
        <f t="shared" si="1"/>
        <v>6.1</v>
      </c>
      <c r="P63" s="521">
        <v>458609</v>
      </c>
      <c r="Q63" s="521">
        <v>478540</v>
      </c>
      <c r="R63" s="191">
        <f t="shared" si="2"/>
        <v>4.3</v>
      </c>
      <c r="S63" s="298">
        <f>V63-P63</f>
        <v>239079</v>
      </c>
      <c r="T63" s="298">
        <f>W63-Q63</f>
        <v>297858</v>
      </c>
      <c r="U63" s="191">
        <f t="shared" si="3"/>
        <v>24.6</v>
      </c>
      <c r="V63" s="521">
        <v>697688</v>
      </c>
      <c r="W63" s="521">
        <v>776398</v>
      </c>
      <c r="X63" s="191">
        <f t="shared" si="4"/>
        <v>11.3</v>
      </c>
      <c r="Y63" s="298">
        <f>AB63-V63</f>
        <v>253673</v>
      </c>
      <c r="Z63" s="298">
        <f>AC63-W63</f>
        <v>282800</v>
      </c>
      <c r="AA63" s="191">
        <f t="shared" si="5"/>
        <v>11.5</v>
      </c>
      <c r="AB63" s="521">
        <v>951361</v>
      </c>
      <c r="AC63" s="521">
        <v>1059198</v>
      </c>
      <c r="AD63" s="191">
        <f t="shared" si="6"/>
        <v>11.3</v>
      </c>
      <c r="AE63" s="298">
        <f>AH63-AB63</f>
        <v>232795</v>
      </c>
      <c r="AF63" s="298">
        <f>AI63-AC63</f>
        <v>247993</v>
      </c>
      <c r="AG63" s="191">
        <f t="shared" si="7"/>
        <v>6.5</v>
      </c>
      <c r="AH63" s="521">
        <v>1184156</v>
      </c>
      <c r="AI63" s="521">
        <v>1307191</v>
      </c>
      <c r="AJ63" s="191">
        <f t="shared" si="8"/>
        <v>10.4</v>
      </c>
    </row>
    <row r="64" spans="1:36" ht="22.5" customHeight="1">
      <c r="A64" s="11"/>
      <c r="B64" s="824"/>
      <c r="C64" s="825"/>
      <c r="D64" s="346" t="s">
        <v>298</v>
      </c>
      <c r="E64" s="15">
        <v>5421698</v>
      </c>
      <c r="F64" s="15">
        <v>6462277</v>
      </c>
      <c r="G64" s="180">
        <v>6956881</v>
      </c>
      <c r="H64" s="407">
        <v>6295986</v>
      </c>
      <c r="I64" s="522">
        <v>5754200</v>
      </c>
      <c r="J64" s="522">
        <v>500161</v>
      </c>
      <c r="K64" s="299">
        <v>568343</v>
      </c>
      <c r="L64" s="192">
        <f t="shared" si="0"/>
        <v>13.6</v>
      </c>
      <c r="M64" s="299">
        <f>P64-J64</f>
        <v>434542</v>
      </c>
      <c r="N64" s="299">
        <f>Q64-K64</f>
        <v>532439</v>
      </c>
      <c r="O64" s="192">
        <f t="shared" si="1"/>
        <v>22.5</v>
      </c>
      <c r="P64" s="522">
        <v>934703</v>
      </c>
      <c r="Q64" s="522">
        <v>1100782</v>
      </c>
      <c r="R64" s="192">
        <f t="shared" si="2"/>
        <v>17.8</v>
      </c>
      <c r="S64" s="299">
        <f>V64-P64</f>
        <v>500258</v>
      </c>
      <c r="T64" s="299">
        <f>W64-Q64</f>
        <v>713328</v>
      </c>
      <c r="U64" s="192">
        <f t="shared" si="3"/>
        <v>42.6</v>
      </c>
      <c r="V64" s="522">
        <v>1434961</v>
      </c>
      <c r="W64" s="522">
        <v>1814110</v>
      </c>
      <c r="X64" s="192">
        <f t="shared" si="4"/>
        <v>26.4</v>
      </c>
      <c r="Y64" s="299">
        <f>AB64-V64</f>
        <v>497047</v>
      </c>
      <c r="Z64" s="299">
        <f>AC64-W64</f>
        <v>708108</v>
      </c>
      <c r="AA64" s="192">
        <f t="shared" si="5"/>
        <v>42.5</v>
      </c>
      <c r="AB64" s="522">
        <v>1932008</v>
      </c>
      <c r="AC64" s="522">
        <v>2522218</v>
      </c>
      <c r="AD64" s="192">
        <f t="shared" si="6"/>
        <v>30.5</v>
      </c>
      <c r="AE64" s="299">
        <f>AH64-AB64</f>
        <v>447883</v>
      </c>
      <c r="AF64" s="299">
        <f>AI64-AC64</f>
        <v>638602</v>
      </c>
      <c r="AG64" s="192">
        <f t="shared" si="7"/>
        <v>42.6</v>
      </c>
      <c r="AH64" s="522">
        <v>2379891</v>
      </c>
      <c r="AI64" s="522">
        <v>3160820</v>
      </c>
      <c r="AJ64" s="192">
        <f t="shared" si="8"/>
        <v>32.799999999999997</v>
      </c>
    </row>
    <row r="65" spans="1:36" ht="22.5" customHeight="1">
      <c r="A65" s="11"/>
      <c r="B65" s="824"/>
      <c r="C65" s="825"/>
      <c r="D65" s="348" t="s">
        <v>299</v>
      </c>
      <c r="E65" s="17">
        <f t="shared" ref="E65:G65" si="112">E64/E63*1000</f>
        <v>2000.4132400640669</v>
      </c>
      <c r="F65" s="17">
        <f t="shared" si="112"/>
        <v>2259.5081811878658</v>
      </c>
      <c r="G65" s="181">
        <f t="shared" si="112"/>
        <v>2458.4633793300368</v>
      </c>
      <c r="H65" s="408">
        <f>H64/H63*1000</f>
        <v>2140.300839396853</v>
      </c>
      <c r="I65" s="515">
        <f>I64/I63*1000</f>
        <v>2018.6265677665237</v>
      </c>
      <c r="J65" s="515">
        <f t="shared" ref="J65:K65" si="113">J64/J63*1000</f>
        <v>2061.4994641826725</v>
      </c>
      <c r="K65" s="515">
        <f t="shared" si="113"/>
        <v>2278.4575171783417</v>
      </c>
      <c r="L65" s="193">
        <f t="shared" si="0"/>
        <v>10.5</v>
      </c>
      <c r="M65" s="300">
        <f>M64/M63*1000</f>
        <v>2011.8709749107593</v>
      </c>
      <c r="N65" s="300">
        <f>N64/N63*1000</f>
        <v>2324.0665566700709</v>
      </c>
      <c r="O65" s="193">
        <f t="shared" si="1"/>
        <v>15.5</v>
      </c>
      <c r="P65" s="515">
        <f>P64/P63*1000</f>
        <v>2038.1261597570042</v>
      </c>
      <c r="Q65" s="515">
        <f>Q64/Q63*1000</f>
        <v>2300.2925565261003</v>
      </c>
      <c r="R65" s="193">
        <f t="shared" si="2"/>
        <v>12.9</v>
      </c>
      <c r="S65" s="300">
        <f>S64/S63*1000</f>
        <v>2092.4380644054895</v>
      </c>
      <c r="T65" s="300">
        <f>T64/T63*1000</f>
        <v>2394.859295368934</v>
      </c>
      <c r="U65" s="193">
        <f t="shared" si="3"/>
        <v>14.5</v>
      </c>
      <c r="V65" s="515">
        <f>V64/V63*1000</f>
        <v>2056.7373955120338</v>
      </c>
      <c r="W65" s="515">
        <f t="shared" ref="W65" si="114">W64/W63*1000</f>
        <v>2336.5722219789332</v>
      </c>
      <c r="X65" s="193">
        <f t="shared" si="4"/>
        <v>13.6</v>
      </c>
      <c r="Y65" s="300">
        <f>Y64/Y63*1000</f>
        <v>1959.4004880298653</v>
      </c>
      <c r="Z65" s="300">
        <f>Z64/Z63*1000</f>
        <v>2503.9179632248938</v>
      </c>
      <c r="AA65" s="193">
        <f t="shared" si="5"/>
        <v>27.8</v>
      </c>
      <c r="AB65" s="515">
        <f>AB64/AB63*1000</f>
        <v>2030.7832673401581</v>
      </c>
      <c r="AC65" s="515">
        <f t="shared" ref="AC65" si="115">AC64/AC63*1000</f>
        <v>2381.2526081053779</v>
      </c>
      <c r="AD65" s="193">
        <f t="shared" si="6"/>
        <v>17.3</v>
      </c>
      <c r="AE65" s="300">
        <f>AE64/AE63*1000</f>
        <v>1923.93736978887</v>
      </c>
      <c r="AF65" s="300">
        <f>AF64/AF63*1000</f>
        <v>2575.0807482469263</v>
      </c>
      <c r="AG65" s="193">
        <f t="shared" si="7"/>
        <v>33.799999999999997</v>
      </c>
      <c r="AH65" s="515">
        <f>AH64/AH63*1000</f>
        <v>2009.7782724573449</v>
      </c>
      <c r="AI65" s="515">
        <f t="shared" ref="AI65" si="116">AI64/AI63*1000</f>
        <v>2418.0246039025665</v>
      </c>
      <c r="AJ65" s="193">
        <f t="shared" si="8"/>
        <v>20.3</v>
      </c>
    </row>
    <row r="66" spans="1:36" ht="22.5" customHeight="1">
      <c r="A66" s="778" t="s">
        <v>25</v>
      </c>
      <c r="B66" s="820" t="s">
        <v>26</v>
      </c>
      <c r="C66" s="821" t="s">
        <v>318</v>
      </c>
      <c r="D66" s="694" t="s">
        <v>569</v>
      </c>
      <c r="E66" s="9">
        <v>59139</v>
      </c>
      <c r="F66" s="9">
        <v>63550</v>
      </c>
      <c r="G66" s="177">
        <v>60914</v>
      </c>
      <c r="H66" s="520">
        <v>47837</v>
      </c>
      <c r="I66" s="607">
        <v>39665</v>
      </c>
      <c r="J66" s="607">
        <v>3791</v>
      </c>
      <c r="K66" s="296">
        <v>3520</v>
      </c>
      <c r="L66" s="189">
        <f t="shared" si="0"/>
        <v>-7.1</v>
      </c>
      <c r="M66" s="296">
        <f>P66-J66</f>
        <v>3742</v>
      </c>
      <c r="N66" s="296">
        <f>Q66-K66</f>
        <v>1791</v>
      </c>
      <c r="O66" s="189">
        <f t="shared" si="1"/>
        <v>-52.1</v>
      </c>
      <c r="P66" s="607">
        <v>7533</v>
      </c>
      <c r="Q66" s="607">
        <v>5311</v>
      </c>
      <c r="R66" s="189">
        <f t="shared" si="2"/>
        <v>-29.5</v>
      </c>
      <c r="S66" s="296">
        <f>V66-P66</f>
        <v>6518</v>
      </c>
      <c r="T66" s="296">
        <f>W66-Q66</f>
        <v>4190</v>
      </c>
      <c r="U66" s="189">
        <f t="shared" si="3"/>
        <v>-35.700000000000003</v>
      </c>
      <c r="V66" s="607">
        <v>14051</v>
      </c>
      <c r="W66" s="607">
        <v>9501</v>
      </c>
      <c r="X66" s="189">
        <f t="shared" si="4"/>
        <v>-32.4</v>
      </c>
      <c r="Y66" s="296">
        <f>AB66-V66</f>
        <v>2527</v>
      </c>
      <c r="Z66" s="296">
        <f>AC66-W66</f>
        <v>3254</v>
      </c>
      <c r="AA66" s="189">
        <f t="shared" si="5"/>
        <v>28.8</v>
      </c>
      <c r="AB66" s="607">
        <v>16578</v>
      </c>
      <c r="AC66" s="607">
        <v>12755</v>
      </c>
      <c r="AD66" s="189">
        <f t="shared" si="6"/>
        <v>-23.1</v>
      </c>
      <c r="AE66" s="296">
        <f>AH66-AB66</f>
        <v>2947</v>
      </c>
      <c r="AF66" s="296">
        <f>AI66-AC66</f>
        <v>2719</v>
      </c>
      <c r="AG66" s="189">
        <f t="shared" si="7"/>
        <v>-7.7</v>
      </c>
      <c r="AH66" s="607">
        <v>19525</v>
      </c>
      <c r="AI66" s="607">
        <v>15474</v>
      </c>
      <c r="AJ66" s="189">
        <f t="shared" si="8"/>
        <v>-20.7</v>
      </c>
    </row>
    <row r="67" spans="1:36" ht="22.5" customHeight="1">
      <c r="A67" s="819"/>
      <c r="B67" s="820"/>
      <c r="C67" s="822"/>
      <c r="D67" s="345" t="s">
        <v>8</v>
      </c>
      <c r="E67" s="5">
        <v>129584</v>
      </c>
      <c r="F67" s="5">
        <v>188448</v>
      </c>
      <c r="G67" s="174">
        <v>191919</v>
      </c>
      <c r="H67" s="401">
        <v>131283</v>
      </c>
      <c r="I67" s="606">
        <v>95471</v>
      </c>
      <c r="J67" s="606">
        <v>9545</v>
      </c>
      <c r="K67" s="294">
        <v>9922</v>
      </c>
      <c r="L67" s="187">
        <f t="shared" si="0"/>
        <v>3.9</v>
      </c>
      <c r="M67" s="294">
        <f>P67-J67</f>
        <v>9319</v>
      </c>
      <c r="N67" s="294">
        <f>Q67-K67</f>
        <v>5094</v>
      </c>
      <c r="O67" s="187">
        <f t="shared" si="1"/>
        <v>-45.3</v>
      </c>
      <c r="P67" s="606">
        <v>18864</v>
      </c>
      <c r="Q67" s="606">
        <v>15016</v>
      </c>
      <c r="R67" s="187">
        <f t="shared" si="2"/>
        <v>-20.399999999999999</v>
      </c>
      <c r="S67" s="294">
        <f>V67-P67</f>
        <v>14884</v>
      </c>
      <c r="T67" s="294">
        <f>W67-Q67</f>
        <v>12147</v>
      </c>
      <c r="U67" s="187">
        <f t="shared" si="3"/>
        <v>-18.399999999999999</v>
      </c>
      <c r="V67" s="606">
        <v>33748</v>
      </c>
      <c r="W67" s="606">
        <v>27163</v>
      </c>
      <c r="X67" s="187">
        <f t="shared" si="4"/>
        <v>-19.5</v>
      </c>
      <c r="Y67" s="294">
        <f>AB67-V67</f>
        <v>5778</v>
      </c>
      <c r="Z67" s="294">
        <f>AC67-W67</f>
        <v>9540</v>
      </c>
      <c r="AA67" s="187">
        <f t="shared" si="5"/>
        <v>65.099999999999994</v>
      </c>
      <c r="AB67" s="606">
        <v>39526</v>
      </c>
      <c r="AC67" s="606">
        <v>36703</v>
      </c>
      <c r="AD67" s="187">
        <f t="shared" si="6"/>
        <v>-7.1</v>
      </c>
      <c r="AE67" s="294">
        <f>AH67-AB67</f>
        <v>6432</v>
      </c>
      <c r="AF67" s="294">
        <f>AI67-AC67</f>
        <v>8226</v>
      </c>
      <c r="AG67" s="187">
        <f t="shared" si="7"/>
        <v>27.9</v>
      </c>
      <c r="AH67" s="606">
        <v>45958</v>
      </c>
      <c r="AI67" s="606">
        <v>44929</v>
      </c>
      <c r="AJ67" s="187">
        <f t="shared" si="8"/>
        <v>-2.2000000000000002</v>
      </c>
    </row>
    <row r="68" spans="1:36" ht="22.5" customHeight="1">
      <c r="A68" s="11"/>
      <c r="B68" s="820"/>
      <c r="C68" s="822"/>
      <c r="D68" s="347" t="s">
        <v>9</v>
      </c>
      <c r="E68" s="10">
        <f t="shared" ref="E68:G68" si="117">E67/E66*1000</f>
        <v>2191.1767192546372</v>
      </c>
      <c r="F68" s="10">
        <f t="shared" si="117"/>
        <v>2965.3501180173093</v>
      </c>
      <c r="G68" s="178">
        <f t="shared" si="117"/>
        <v>3150.6550218340612</v>
      </c>
      <c r="H68" s="405">
        <f>H67/H66*1000</f>
        <v>2744.3819637519073</v>
      </c>
      <c r="I68" s="514">
        <f>I67/I66*1000</f>
        <v>2406.9330644144711</v>
      </c>
      <c r="J68" s="514">
        <f t="shared" ref="J68:K68" si="118">J67/J66*1000</f>
        <v>2517.8053284093908</v>
      </c>
      <c r="K68" s="514">
        <f t="shared" si="118"/>
        <v>2818.75</v>
      </c>
      <c r="L68" s="188">
        <f t="shared" si="0"/>
        <v>12</v>
      </c>
      <c r="M68" s="295">
        <f>M67/M66*1000</f>
        <v>2490.3794762159273</v>
      </c>
      <c r="N68" s="295">
        <f>N67/N66*1000</f>
        <v>2844.2211055276384</v>
      </c>
      <c r="O68" s="188">
        <f t="shared" si="1"/>
        <v>14.2</v>
      </c>
      <c r="P68" s="514">
        <f>P67/P66*1000</f>
        <v>2504.1816009557942</v>
      </c>
      <c r="Q68" s="514">
        <f>Q67/Q66*1000</f>
        <v>2827.3394840896249</v>
      </c>
      <c r="R68" s="188">
        <f t="shared" si="2"/>
        <v>12.9</v>
      </c>
      <c r="S68" s="295">
        <f>S67/S66*1000</f>
        <v>2283.522552930347</v>
      </c>
      <c r="T68" s="295">
        <f>T67/T66*1000</f>
        <v>2899.0453460620524</v>
      </c>
      <c r="U68" s="188">
        <f t="shared" si="3"/>
        <v>27</v>
      </c>
      <c r="V68" s="514">
        <f>V67/V66*1000</f>
        <v>2401.8219343818946</v>
      </c>
      <c r="W68" s="514">
        <f t="shared" ref="W68" si="119">W67/W66*1000</f>
        <v>2858.9622145037365</v>
      </c>
      <c r="X68" s="188">
        <f t="shared" si="4"/>
        <v>19</v>
      </c>
      <c r="Y68" s="295">
        <f>Y67/Y66*1000</f>
        <v>2286.5057380292837</v>
      </c>
      <c r="Z68" s="295">
        <f>Z67/Z66*1000</f>
        <v>2931.7762753534112</v>
      </c>
      <c r="AA68" s="188">
        <f t="shared" si="5"/>
        <v>28.2</v>
      </c>
      <c r="AB68" s="514">
        <f>AB67/AB66*1000</f>
        <v>2384.2441790324528</v>
      </c>
      <c r="AC68" s="514">
        <f t="shared" ref="AC68" si="120">AC67/AC66*1000</f>
        <v>2877.5382203057625</v>
      </c>
      <c r="AD68" s="188">
        <f t="shared" si="6"/>
        <v>20.7</v>
      </c>
      <c r="AE68" s="295">
        <f>AE67/AE66*1000</f>
        <v>2182.5585341024771</v>
      </c>
      <c r="AF68" s="295">
        <f>AF67/AF66*1000</f>
        <v>3025.3769768297166</v>
      </c>
      <c r="AG68" s="188">
        <f t="shared" si="7"/>
        <v>38.6</v>
      </c>
      <c r="AH68" s="514">
        <f>AH67/AH66*1000</f>
        <v>2353.8028169014083</v>
      </c>
      <c r="AI68" s="514">
        <f t="shared" ref="AI68" si="121">AI67/AI66*1000</f>
        <v>2903.5155745120846</v>
      </c>
      <c r="AJ68" s="188">
        <f t="shared" si="8"/>
        <v>23.4</v>
      </c>
    </row>
    <row r="69" spans="1:36" ht="22.5" customHeight="1">
      <c r="A69" s="11"/>
      <c r="B69" s="820" t="s">
        <v>18</v>
      </c>
      <c r="C69" s="822"/>
      <c r="D69" s="694" t="s">
        <v>569</v>
      </c>
      <c r="E69" s="9">
        <f t="shared" ref="E69:H70" si="122">E72-E66</f>
        <v>12189</v>
      </c>
      <c r="F69" s="9">
        <f t="shared" si="122"/>
        <v>10366</v>
      </c>
      <c r="G69" s="177">
        <f t="shared" si="122"/>
        <v>8728</v>
      </c>
      <c r="H69" s="520">
        <f t="shared" si="122"/>
        <v>8085</v>
      </c>
      <c r="I69" s="607">
        <f>I72-I66</f>
        <v>6830</v>
      </c>
      <c r="J69" s="607">
        <f t="shared" ref="J69:K69" si="123">J72-J66</f>
        <v>764</v>
      </c>
      <c r="K69" s="607">
        <f t="shared" si="123"/>
        <v>346</v>
      </c>
      <c r="L69" s="189">
        <f t="shared" si="0"/>
        <v>-54.7</v>
      </c>
      <c r="M69" s="296">
        <f>M72-M66</f>
        <v>618</v>
      </c>
      <c r="N69" s="296">
        <f>N72-N66</f>
        <v>357</v>
      </c>
      <c r="O69" s="189">
        <f t="shared" si="1"/>
        <v>-42.2</v>
      </c>
      <c r="P69" s="607">
        <f>P72-P66</f>
        <v>1382</v>
      </c>
      <c r="Q69" s="607">
        <f>Q72-Q66</f>
        <v>703</v>
      </c>
      <c r="R69" s="189">
        <f t="shared" si="2"/>
        <v>-49.1</v>
      </c>
      <c r="S69" s="296">
        <f>S72-S66</f>
        <v>716</v>
      </c>
      <c r="T69" s="296">
        <f>T72-T66</f>
        <v>543</v>
      </c>
      <c r="U69" s="189">
        <f t="shared" si="3"/>
        <v>-24.2</v>
      </c>
      <c r="V69" s="607">
        <f>V72-V66</f>
        <v>2098</v>
      </c>
      <c r="W69" s="607">
        <f>W72-W66</f>
        <v>1246</v>
      </c>
      <c r="X69" s="189">
        <f t="shared" si="4"/>
        <v>-40.6</v>
      </c>
      <c r="Y69" s="296">
        <f>Y72-Y66</f>
        <v>550</v>
      </c>
      <c r="Z69" s="296">
        <f>Z72-Z66</f>
        <v>644</v>
      </c>
      <c r="AA69" s="189">
        <f t="shared" si="5"/>
        <v>17.100000000000001</v>
      </c>
      <c r="AB69" s="607">
        <f>AB72-AB66</f>
        <v>2648</v>
      </c>
      <c r="AC69" s="607">
        <f>AC72-AC66</f>
        <v>1890</v>
      </c>
      <c r="AD69" s="189">
        <f t="shared" si="6"/>
        <v>-28.6</v>
      </c>
      <c r="AE69" s="296">
        <f>AE72-AE66</f>
        <v>455</v>
      </c>
      <c r="AF69" s="296">
        <f>AF72-AF66</f>
        <v>410</v>
      </c>
      <c r="AG69" s="189">
        <f t="shared" si="7"/>
        <v>-9.9</v>
      </c>
      <c r="AH69" s="607">
        <f>AH72-AH66</f>
        <v>3103</v>
      </c>
      <c r="AI69" s="607">
        <f>AI72-AI66</f>
        <v>2300</v>
      </c>
      <c r="AJ69" s="189">
        <f t="shared" si="8"/>
        <v>-25.9</v>
      </c>
    </row>
    <row r="70" spans="1:36" ht="22.5" customHeight="1">
      <c r="A70" s="11"/>
      <c r="B70" s="820"/>
      <c r="C70" s="822"/>
      <c r="D70" s="345" t="s">
        <v>8</v>
      </c>
      <c r="E70" s="5">
        <f t="shared" si="122"/>
        <v>34269</v>
      </c>
      <c r="F70" s="5">
        <f t="shared" si="122"/>
        <v>34740</v>
      </c>
      <c r="G70" s="174">
        <f t="shared" si="122"/>
        <v>35388</v>
      </c>
      <c r="H70" s="401">
        <f t="shared" si="122"/>
        <v>29868</v>
      </c>
      <c r="I70" s="606">
        <f>I73-I67</f>
        <v>25273</v>
      </c>
      <c r="J70" s="606">
        <f t="shared" ref="J70:K70" si="124">J73-J67</f>
        <v>2750</v>
      </c>
      <c r="K70" s="606">
        <f t="shared" si="124"/>
        <v>1380</v>
      </c>
      <c r="L70" s="187">
        <f t="shared" si="0"/>
        <v>-49.8</v>
      </c>
      <c r="M70" s="294">
        <f>M73-M67</f>
        <v>2269</v>
      </c>
      <c r="N70" s="294">
        <f>N73-N67</f>
        <v>1505</v>
      </c>
      <c r="O70" s="187">
        <f t="shared" si="1"/>
        <v>-33.700000000000003</v>
      </c>
      <c r="P70" s="606">
        <f>P73-P67</f>
        <v>5019</v>
      </c>
      <c r="Q70" s="606">
        <f>Q73-Q67</f>
        <v>2885</v>
      </c>
      <c r="R70" s="187">
        <f t="shared" si="2"/>
        <v>-42.5</v>
      </c>
      <c r="S70" s="294">
        <f>S73-S67</f>
        <v>2177</v>
      </c>
      <c r="T70" s="294">
        <f>T73-T67</f>
        <v>2419</v>
      </c>
      <c r="U70" s="187">
        <f t="shared" si="3"/>
        <v>11.1</v>
      </c>
      <c r="V70" s="606">
        <f>V73-V67</f>
        <v>7196</v>
      </c>
      <c r="W70" s="606">
        <f>W73-W67</f>
        <v>5304</v>
      </c>
      <c r="X70" s="187">
        <f t="shared" si="4"/>
        <v>-26.3</v>
      </c>
      <c r="Y70" s="294">
        <f>Y73-Y67</f>
        <v>2240</v>
      </c>
      <c r="Z70" s="294">
        <f>Z73-Z67</f>
        <v>2690</v>
      </c>
      <c r="AA70" s="187">
        <f t="shared" si="5"/>
        <v>20.100000000000001</v>
      </c>
      <c r="AB70" s="606">
        <f>AB73-AB67</f>
        <v>9436</v>
      </c>
      <c r="AC70" s="606">
        <f>AC73-AC67</f>
        <v>7994</v>
      </c>
      <c r="AD70" s="187">
        <f t="shared" si="6"/>
        <v>-15.3</v>
      </c>
      <c r="AE70" s="294">
        <f>AE73-AE67</f>
        <v>2096</v>
      </c>
      <c r="AF70" s="294">
        <f>AF73-AF67</f>
        <v>1783</v>
      </c>
      <c r="AG70" s="187">
        <f t="shared" si="7"/>
        <v>-14.9</v>
      </c>
      <c r="AH70" s="606">
        <f>AH73-AH67</f>
        <v>11532</v>
      </c>
      <c r="AI70" s="606">
        <f>AI73-AI67</f>
        <v>9777</v>
      </c>
      <c r="AJ70" s="187">
        <f t="shared" si="8"/>
        <v>-15.2</v>
      </c>
    </row>
    <row r="71" spans="1:36" ht="22.5" customHeight="1">
      <c r="A71" s="11"/>
      <c r="B71" s="820"/>
      <c r="C71" s="822"/>
      <c r="D71" s="347" t="s">
        <v>9</v>
      </c>
      <c r="E71" s="10">
        <f t="shared" ref="E71:G71" si="125">E70/E69*1000</f>
        <v>2811.4693576175237</v>
      </c>
      <c r="F71" s="10">
        <f t="shared" si="125"/>
        <v>3351.3409222458035</v>
      </c>
      <c r="G71" s="178">
        <f t="shared" si="125"/>
        <v>4054.5371219065078</v>
      </c>
      <c r="H71" s="405">
        <f>H70/H69*1000</f>
        <v>3694.248608534323</v>
      </c>
      <c r="I71" s="514">
        <f>I70/I69*1000</f>
        <v>3700.2928257686676</v>
      </c>
      <c r="J71" s="514">
        <f t="shared" ref="J71:K71" si="126">J70/J69*1000</f>
        <v>3599.476439790576</v>
      </c>
      <c r="K71" s="514">
        <f t="shared" si="126"/>
        <v>3988.4393063583816</v>
      </c>
      <c r="L71" s="188">
        <f t="shared" ref="L71:L107" si="127">ROUND(((K71/J71-1)*100),1)</f>
        <v>10.8</v>
      </c>
      <c r="M71" s="295">
        <f>M70/M69*1000</f>
        <v>3671.5210355987056</v>
      </c>
      <c r="N71" s="295">
        <f>N70/N69*1000</f>
        <v>4215.6862745098042</v>
      </c>
      <c r="O71" s="188">
        <f t="shared" ref="O71:O107" si="128">ROUND(((N71/M71-1)*100),1)</f>
        <v>14.8</v>
      </c>
      <c r="P71" s="514">
        <f>P70/P69*1000</f>
        <v>3631.6931982633864</v>
      </c>
      <c r="Q71" s="514">
        <f>Q70/Q69*1000</f>
        <v>4103.8406827880508</v>
      </c>
      <c r="R71" s="188">
        <f t="shared" ref="R71:R107" si="129">ROUND(((Q71/P71-1)*100),1)</f>
        <v>13</v>
      </c>
      <c r="S71" s="295">
        <f>S70/S69*1000</f>
        <v>3040.5027932960893</v>
      </c>
      <c r="T71" s="295">
        <f>T70/T69*1000</f>
        <v>4454.8802946592996</v>
      </c>
      <c r="U71" s="188">
        <f t="shared" ref="U71:U107" si="130">ROUND(((T71/S71-1)*100),1)</f>
        <v>46.5</v>
      </c>
      <c r="V71" s="514">
        <f>V70/V69*1000</f>
        <v>3429.9332697807436</v>
      </c>
      <c r="W71" s="514">
        <f t="shared" ref="W71" si="131">W70/W69*1000</f>
        <v>4256.8218298555375</v>
      </c>
      <c r="X71" s="188">
        <f t="shared" ref="X71:X107" si="132">ROUND(((W71/V71-1)*100),1)</f>
        <v>24.1</v>
      </c>
      <c r="Y71" s="295">
        <f>Y70/Y69*1000</f>
        <v>4072.7272727272725</v>
      </c>
      <c r="Z71" s="295">
        <f>Z70/Z69*1000</f>
        <v>4177.0186335403723</v>
      </c>
      <c r="AA71" s="188">
        <f t="shared" ref="AA71:AA107" si="133">ROUND(((Z71/Y71-1)*100),1)</f>
        <v>2.6</v>
      </c>
      <c r="AB71" s="514">
        <f>AB70/AB69*1000</f>
        <v>3563.4441087613295</v>
      </c>
      <c r="AC71" s="514">
        <f t="shared" ref="AC71" si="134">AC70/AC69*1000</f>
        <v>4229.6296296296296</v>
      </c>
      <c r="AD71" s="188">
        <f t="shared" ref="AD71:AD107" si="135">ROUND(((AC71/AB71-1)*100),1)</f>
        <v>18.7</v>
      </c>
      <c r="AE71" s="295">
        <f>AE70/AE69*1000</f>
        <v>4606.5934065934061</v>
      </c>
      <c r="AF71" s="295">
        <f>AF70/AF69*1000</f>
        <v>4348.7804878048782</v>
      </c>
      <c r="AG71" s="188">
        <f t="shared" ref="AG71:AG107" si="136">ROUND(((AF71/AE71-1)*100),1)</f>
        <v>-5.6</v>
      </c>
      <c r="AH71" s="514">
        <f>AH70/AH69*1000</f>
        <v>3716.4034805027395</v>
      </c>
      <c r="AI71" s="514">
        <f t="shared" ref="AI71" si="137">AI70/AI69*1000</f>
        <v>4250.869565217391</v>
      </c>
      <c r="AJ71" s="188">
        <f t="shared" ref="AJ71:AJ107" si="138">ROUND(((AI71/AH71-1)*100),1)</f>
        <v>14.4</v>
      </c>
    </row>
    <row r="72" spans="1:36" ht="22.5" customHeight="1">
      <c r="A72" s="11"/>
      <c r="B72" s="824" t="s">
        <v>19</v>
      </c>
      <c r="C72" s="825"/>
      <c r="D72" s="12" t="s">
        <v>569</v>
      </c>
      <c r="E72" s="13">
        <v>71328</v>
      </c>
      <c r="F72" s="13">
        <v>73916</v>
      </c>
      <c r="G72" s="179">
        <v>69642</v>
      </c>
      <c r="H72" s="406">
        <v>55922</v>
      </c>
      <c r="I72" s="521">
        <v>46495</v>
      </c>
      <c r="J72" s="521">
        <v>4555</v>
      </c>
      <c r="K72" s="298">
        <v>3866</v>
      </c>
      <c r="L72" s="191">
        <f t="shared" si="127"/>
        <v>-15.1</v>
      </c>
      <c r="M72" s="298">
        <f>P72-J72</f>
        <v>4360</v>
      </c>
      <c r="N72" s="298">
        <f>Q72-K72</f>
        <v>2148</v>
      </c>
      <c r="O72" s="191">
        <f t="shared" si="128"/>
        <v>-50.7</v>
      </c>
      <c r="P72" s="521">
        <v>8915</v>
      </c>
      <c r="Q72" s="521">
        <v>6014</v>
      </c>
      <c r="R72" s="191">
        <f t="shared" si="129"/>
        <v>-32.5</v>
      </c>
      <c r="S72" s="298">
        <f>V72-P72</f>
        <v>7234</v>
      </c>
      <c r="T72" s="298">
        <f>W72-Q72</f>
        <v>4733</v>
      </c>
      <c r="U72" s="191">
        <f t="shared" si="130"/>
        <v>-34.6</v>
      </c>
      <c r="V72" s="521">
        <v>16149</v>
      </c>
      <c r="W72" s="521">
        <v>10747</v>
      </c>
      <c r="X72" s="191">
        <f t="shared" si="132"/>
        <v>-33.5</v>
      </c>
      <c r="Y72" s="298">
        <f>AB72-V72</f>
        <v>3077</v>
      </c>
      <c r="Z72" s="298">
        <f>AC72-W72</f>
        <v>3898</v>
      </c>
      <c r="AA72" s="191">
        <f t="shared" si="133"/>
        <v>26.7</v>
      </c>
      <c r="AB72" s="521">
        <v>19226</v>
      </c>
      <c r="AC72" s="521">
        <v>14645</v>
      </c>
      <c r="AD72" s="191">
        <f t="shared" si="135"/>
        <v>-23.8</v>
      </c>
      <c r="AE72" s="298">
        <f>AH72-AB72</f>
        <v>3402</v>
      </c>
      <c r="AF72" s="298">
        <f>AI72-AC72</f>
        <v>3129</v>
      </c>
      <c r="AG72" s="191">
        <f t="shared" si="136"/>
        <v>-8</v>
      </c>
      <c r="AH72" s="521">
        <v>22628</v>
      </c>
      <c r="AI72" s="521">
        <v>17774</v>
      </c>
      <c r="AJ72" s="191">
        <f t="shared" si="138"/>
        <v>-21.5</v>
      </c>
    </row>
    <row r="73" spans="1:36" ht="22.5" customHeight="1">
      <c r="A73" s="11"/>
      <c r="B73" s="824"/>
      <c r="C73" s="825"/>
      <c r="D73" s="346" t="s">
        <v>298</v>
      </c>
      <c r="E73" s="15">
        <v>163853</v>
      </c>
      <c r="F73" s="15">
        <v>223188</v>
      </c>
      <c r="G73" s="180">
        <v>227307</v>
      </c>
      <c r="H73" s="407">
        <v>161151</v>
      </c>
      <c r="I73" s="522">
        <v>120744</v>
      </c>
      <c r="J73" s="522">
        <v>12295</v>
      </c>
      <c r="K73" s="299">
        <v>11302</v>
      </c>
      <c r="L73" s="192">
        <f t="shared" si="127"/>
        <v>-8.1</v>
      </c>
      <c r="M73" s="299">
        <f>P73-J73</f>
        <v>11588</v>
      </c>
      <c r="N73" s="299">
        <f>Q73-K73</f>
        <v>6599</v>
      </c>
      <c r="O73" s="192">
        <f t="shared" si="128"/>
        <v>-43.1</v>
      </c>
      <c r="P73" s="522">
        <v>23883</v>
      </c>
      <c r="Q73" s="522">
        <v>17901</v>
      </c>
      <c r="R73" s="192">
        <f t="shared" si="129"/>
        <v>-25</v>
      </c>
      <c r="S73" s="299">
        <f>V73-P73</f>
        <v>17061</v>
      </c>
      <c r="T73" s="299">
        <f>W73-Q73</f>
        <v>14566</v>
      </c>
      <c r="U73" s="192">
        <f t="shared" si="130"/>
        <v>-14.6</v>
      </c>
      <c r="V73" s="522">
        <v>40944</v>
      </c>
      <c r="W73" s="522">
        <v>32467</v>
      </c>
      <c r="X73" s="192">
        <f t="shared" si="132"/>
        <v>-20.7</v>
      </c>
      <c r="Y73" s="299">
        <f>AB73-V73</f>
        <v>8018</v>
      </c>
      <c r="Z73" s="299">
        <f>AC73-W73</f>
        <v>12230</v>
      </c>
      <c r="AA73" s="192">
        <f t="shared" si="133"/>
        <v>52.5</v>
      </c>
      <c r="AB73" s="522">
        <v>48962</v>
      </c>
      <c r="AC73" s="522">
        <v>44697</v>
      </c>
      <c r="AD73" s="192">
        <f t="shared" si="135"/>
        <v>-8.6999999999999993</v>
      </c>
      <c r="AE73" s="299">
        <f>AH73-AB73</f>
        <v>8528</v>
      </c>
      <c r="AF73" s="299">
        <f>AI73-AC73</f>
        <v>10009</v>
      </c>
      <c r="AG73" s="192">
        <f t="shared" si="136"/>
        <v>17.399999999999999</v>
      </c>
      <c r="AH73" s="522">
        <v>57490</v>
      </c>
      <c r="AI73" s="522">
        <v>54706</v>
      </c>
      <c r="AJ73" s="192">
        <f t="shared" si="138"/>
        <v>-4.8</v>
      </c>
    </row>
    <row r="74" spans="1:36" ht="22.5" customHeight="1">
      <c r="A74" s="11"/>
      <c r="B74" s="824"/>
      <c r="C74" s="825"/>
      <c r="D74" s="348" t="s">
        <v>299</v>
      </c>
      <c r="E74" s="17">
        <f t="shared" ref="E74:G74" si="139">E73/E72*1000</f>
        <v>2297.176424405563</v>
      </c>
      <c r="F74" s="17">
        <f t="shared" si="139"/>
        <v>3019.4815736782293</v>
      </c>
      <c r="G74" s="181">
        <f t="shared" si="139"/>
        <v>3263.9355561299217</v>
      </c>
      <c r="H74" s="408">
        <f>H73/H72*1000</f>
        <v>2881.710239261829</v>
      </c>
      <c r="I74" s="515">
        <f>I73/I72*1000</f>
        <v>2596.9244004731695</v>
      </c>
      <c r="J74" s="515">
        <f t="shared" ref="J74:K74" si="140">J73/J72*1000</f>
        <v>2699.2316136114159</v>
      </c>
      <c r="K74" s="515">
        <f t="shared" si="140"/>
        <v>2923.4350750129333</v>
      </c>
      <c r="L74" s="193">
        <f t="shared" si="127"/>
        <v>8.3000000000000007</v>
      </c>
      <c r="M74" s="300">
        <f>M73/M72*1000</f>
        <v>2657.7981651376149</v>
      </c>
      <c r="N74" s="300">
        <f>N73/N72*1000</f>
        <v>3072.1601489757913</v>
      </c>
      <c r="O74" s="193">
        <f t="shared" si="128"/>
        <v>15.6</v>
      </c>
      <c r="P74" s="515">
        <f>P73/P72*1000</f>
        <v>2678.9680314077395</v>
      </c>
      <c r="Q74" s="515">
        <f>Q73/Q72*1000</f>
        <v>2976.5547056867308</v>
      </c>
      <c r="R74" s="193">
        <f t="shared" si="129"/>
        <v>11.1</v>
      </c>
      <c r="S74" s="300">
        <f>S73/S72*1000</f>
        <v>2358.4462261542717</v>
      </c>
      <c r="T74" s="300">
        <f>T73/T72*1000</f>
        <v>3077.5406718783015</v>
      </c>
      <c r="U74" s="193">
        <f t="shared" si="130"/>
        <v>30.5</v>
      </c>
      <c r="V74" s="515">
        <f>V73/V72*1000</f>
        <v>2535.3891881850268</v>
      </c>
      <c r="W74" s="515">
        <f t="shared" ref="W74" si="141">W73/W72*1000</f>
        <v>3021.0291244068112</v>
      </c>
      <c r="X74" s="193">
        <f t="shared" si="132"/>
        <v>19.2</v>
      </c>
      <c r="Y74" s="300">
        <f>Y73/Y72*1000</f>
        <v>2605.7848553786152</v>
      </c>
      <c r="Z74" s="300">
        <f>Z73/Z72*1000</f>
        <v>3137.5064135454077</v>
      </c>
      <c r="AA74" s="193">
        <f t="shared" si="133"/>
        <v>20.399999999999999</v>
      </c>
      <c r="AB74" s="515">
        <f>AB73/AB72*1000</f>
        <v>2546.655570581504</v>
      </c>
      <c r="AC74" s="515">
        <f t="shared" ref="AC74" si="142">AC73/AC72*1000</f>
        <v>3052.0314100375554</v>
      </c>
      <c r="AD74" s="193">
        <f t="shared" si="135"/>
        <v>19.8</v>
      </c>
      <c r="AE74" s="300">
        <f>AE73/AE72*1000</f>
        <v>2506.7607289829512</v>
      </c>
      <c r="AF74" s="300">
        <f>AF73/AF72*1000</f>
        <v>3198.7855544902523</v>
      </c>
      <c r="AG74" s="193">
        <f t="shared" si="136"/>
        <v>27.6</v>
      </c>
      <c r="AH74" s="515">
        <f>AH73/AH72*1000</f>
        <v>2540.6575923634437</v>
      </c>
      <c r="AI74" s="515">
        <f t="shared" ref="AI74" si="143">AI73/AI72*1000</f>
        <v>3077.8665466411612</v>
      </c>
      <c r="AJ74" s="193">
        <f t="shared" si="138"/>
        <v>21.1</v>
      </c>
    </row>
    <row r="75" spans="1:36" ht="22.5" customHeight="1">
      <c r="A75" s="778" t="s">
        <v>27</v>
      </c>
      <c r="B75" s="820" t="s">
        <v>26</v>
      </c>
      <c r="C75" s="821" t="s">
        <v>282</v>
      </c>
      <c r="D75" s="694" t="s">
        <v>569</v>
      </c>
      <c r="E75" s="9">
        <v>133252</v>
      </c>
      <c r="F75" s="9">
        <v>129570</v>
      </c>
      <c r="G75" s="177">
        <v>143766</v>
      </c>
      <c r="H75" s="520">
        <v>124960</v>
      </c>
      <c r="I75" s="607">
        <v>139459</v>
      </c>
      <c r="J75" s="607">
        <v>10846</v>
      </c>
      <c r="K75" s="296">
        <v>13058</v>
      </c>
      <c r="L75" s="189">
        <f t="shared" si="127"/>
        <v>20.399999999999999</v>
      </c>
      <c r="M75" s="296">
        <f>P75-J75</f>
        <v>7508</v>
      </c>
      <c r="N75" s="296">
        <f>Q75-K75</f>
        <v>10020</v>
      </c>
      <c r="O75" s="189">
        <f t="shared" si="128"/>
        <v>33.5</v>
      </c>
      <c r="P75" s="607">
        <v>18354</v>
      </c>
      <c r="Q75" s="612">
        <v>23078</v>
      </c>
      <c r="R75" s="189">
        <f t="shared" si="129"/>
        <v>25.7</v>
      </c>
      <c r="S75" s="296">
        <f>V75-P75</f>
        <v>10479</v>
      </c>
      <c r="T75" s="296">
        <f>W75-Q75</f>
        <v>17020</v>
      </c>
      <c r="U75" s="189">
        <f t="shared" si="130"/>
        <v>62.4</v>
      </c>
      <c r="V75" s="607">
        <v>28833</v>
      </c>
      <c r="W75" s="607">
        <v>40098</v>
      </c>
      <c r="X75" s="189">
        <f t="shared" si="132"/>
        <v>39.1</v>
      </c>
      <c r="Y75" s="296">
        <f>AB75-V75</f>
        <v>8926</v>
      </c>
      <c r="Z75" s="296">
        <f>AC75-W75</f>
        <v>15202</v>
      </c>
      <c r="AA75" s="189">
        <f t="shared" si="133"/>
        <v>70.3</v>
      </c>
      <c r="AB75" s="612">
        <v>37759</v>
      </c>
      <c r="AC75" s="607">
        <v>55300</v>
      </c>
      <c r="AD75" s="189">
        <f t="shared" si="135"/>
        <v>46.5</v>
      </c>
      <c r="AE75" s="296">
        <f>AH75-AB75</f>
        <v>7559</v>
      </c>
      <c r="AF75" s="296">
        <f>AI75-AC75</f>
        <v>12738</v>
      </c>
      <c r="AG75" s="189">
        <f t="shared" si="136"/>
        <v>68.5</v>
      </c>
      <c r="AH75" s="612">
        <v>45318</v>
      </c>
      <c r="AI75" s="607">
        <v>68038</v>
      </c>
      <c r="AJ75" s="189">
        <f t="shared" si="138"/>
        <v>50.1</v>
      </c>
    </row>
    <row r="76" spans="1:36" ht="22.5" customHeight="1">
      <c r="A76" s="819"/>
      <c r="B76" s="820"/>
      <c r="C76" s="822"/>
      <c r="D76" s="345" t="s">
        <v>8</v>
      </c>
      <c r="E76" s="5">
        <v>245225</v>
      </c>
      <c r="F76" s="5">
        <v>298089</v>
      </c>
      <c r="G76" s="174">
        <v>340225</v>
      </c>
      <c r="H76" s="401">
        <v>258215</v>
      </c>
      <c r="I76" s="606">
        <v>264554</v>
      </c>
      <c r="J76" s="606">
        <v>22501</v>
      </c>
      <c r="K76" s="294">
        <v>26464</v>
      </c>
      <c r="L76" s="187">
        <f t="shared" si="127"/>
        <v>17.600000000000001</v>
      </c>
      <c r="M76" s="294">
        <f>P76-J76</f>
        <v>6643</v>
      </c>
      <c r="N76" s="294">
        <f>Q76-K76</f>
        <v>20127</v>
      </c>
      <c r="O76" s="187">
        <f t="shared" si="128"/>
        <v>203</v>
      </c>
      <c r="P76" s="606">
        <v>29144</v>
      </c>
      <c r="Q76" s="606">
        <v>46591</v>
      </c>
      <c r="R76" s="187">
        <f t="shared" si="129"/>
        <v>59.9</v>
      </c>
      <c r="S76" s="294">
        <f>V76-P76</f>
        <v>29142</v>
      </c>
      <c r="T76" s="294">
        <f>W76-Q76</f>
        <v>35326</v>
      </c>
      <c r="U76" s="187">
        <f t="shared" si="130"/>
        <v>21.2</v>
      </c>
      <c r="V76" s="606">
        <v>58286</v>
      </c>
      <c r="W76" s="606">
        <v>81917</v>
      </c>
      <c r="X76" s="187">
        <f t="shared" si="132"/>
        <v>40.5</v>
      </c>
      <c r="Y76" s="294">
        <f>AB76-V76</f>
        <v>16420</v>
      </c>
      <c r="Z76" s="294">
        <f>AC76-W76</f>
        <v>31004</v>
      </c>
      <c r="AA76" s="187">
        <f t="shared" si="133"/>
        <v>88.8</v>
      </c>
      <c r="AB76" s="606">
        <v>74706</v>
      </c>
      <c r="AC76" s="606">
        <v>112921</v>
      </c>
      <c r="AD76" s="187">
        <f t="shared" si="135"/>
        <v>51.2</v>
      </c>
      <c r="AE76" s="294">
        <f>AH76-AB76</f>
        <v>13722</v>
      </c>
      <c r="AF76" s="294">
        <f>AI76-AC76</f>
        <v>26187</v>
      </c>
      <c r="AG76" s="187">
        <f t="shared" si="136"/>
        <v>90.8</v>
      </c>
      <c r="AH76" s="606">
        <v>88428</v>
      </c>
      <c r="AI76" s="606">
        <v>139108</v>
      </c>
      <c r="AJ76" s="187">
        <f t="shared" si="138"/>
        <v>57.3</v>
      </c>
    </row>
    <row r="77" spans="1:36" ht="22.5" customHeight="1">
      <c r="A77" s="11"/>
      <c r="B77" s="820"/>
      <c r="C77" s="822"/>
      <c r="D77" s="347" t="s">
        <v>9</v>
      </c>
      <c r="E77" s="10">
        <f t="shared" ref="E77:G77" si="144">E76/E75*1000</f>
        <v>1840.3100891543843</v>
      </c>
      <c r="F77" s="10">
        <f t="shared" si="144"/>
        <v>2300.6019912016668</v>
      </c>
      <c r="G77" s="178">
        <f t="shared" si="144"/>
        <v>2366.5192048189419</v>
      </c>
      <c r="H77" s="405">
        <f>H76/H75*1000</f>
        <v>2066.3812419974392</v>
      </c>
      <c r="I77" s="514">
        <f>I76/I75*1000</f>
        <v>1897.0019862468539</v>
      </c>
      <c r="J77" s="514">
        <f t="shared" ref="J77:K77" si="145">J76/J75*1000</f>
        <v>2074.589710492347</v>
      </c>
      <c r="K77" s="514">
        <f t="shared" si="145"/>
        <v>2026.650329300046</v>
      </c>
      <c r="L77" s="188">
        <f t="shared" si="127"/>
        <v>-2.2999999999999998</v>
      </c>
      <c r="M77" s="295">
        <f>M76/M75*1000</f>
        <v>884.78955780500803</v>
      </c>
      <c r="N77" s="295">
        <f>N76/N75*1000</f>
        <v>2008.6826347305391</v>
      </c>
      <c r="O77" s="188">
        <f t="shared" si="128"/>
        <v>127</v>
      </c>
      <c r="P77" s="514">
        <f>P76/P75*1000</f>
        <v>1587.8827503541461</v>
      </c>
      <c r="Q77" s="514">
        <f>Q76/Q75*1000</f>
        <v>2018.8491203743824</v>
      </c>
      <c r="R77" s="188">
        <f t="shared" si="129"/>
        <v>27.1</v>
      </c>
      <c r="S77" s="295">
        <f>S76/S75*1000</f>
        <v>2780.9905525336389</v>
      </c>
      <c r="T77" s="295">
        <f>T76/T75*1000</f>
        <v>2075.5581668625146</v>
      </c>
      <c r="U77" s="188">
        <f t="shared" si="130"/>
        <v>-25.4</v>
      </c>
      <c r="V77" s="514">
        <f>V76/V75*1000</f>
        <v>2021.5031387646102</v>
      </c>
      <c r="W77" s="514">
        <f t="shared" ref="W77" si="146">W76/W75*1000</f>
        <v>2042.9198463763778</v>
      </c>
      <c r="X77" s="188">
        <f t="shared" si="132"/>
        <v>1.1000000000000001</v>
      </c>
      <c r="Y77" s="295">
        <f>Y76/Y75*1000</f>
        <v>1839.5697961012772</v>
      </c>
      <c r="Z77" s="295">
        <f>Z76/Z75*1000</f>
        <v>2039.468490988028</v>
      </c>
      <c r="AA77" s="188">
        <f t="shared" si="133"/>
        <v>10.9</v>
      </c>
      <c r="AB77" s="514">
        <f>AB76/AB75*1000</f>
        <v>1978.4951931989724</v>
      </c>
      <c r="AC77" s="514">
        <f t="shared" ref="AC77" si="147">AC76/AC75*1000</f>
        <v>2041.971066907776</v>
      </c>
      <c r="AD77" s="188">
        <f t="shared" si="135"/>
        <v>3.2</v>
      </c>
      <c r="AE77" s="295">
        <f>AE76/AE75*1000</f>
        <v>1815.3194867045906</v>
      </c>
      <c r="AF77" s="295">
        <f>AF76/AF75*1000</f>
        <v>2055.8172397550634</v>
      </c>
      <c r="AG77" s="188">
        <f t="shared" si="136"/>
        <v>13.2</v>
      </c>
      <c r="AH77" s="514">
        <f>AH76/AH75*1000</f>
        <v>1951.277638024626</v>
      </c>
      <c r="AI77" s="514">
        <f t="shared" ref="AI77" si="148">AI76/AI75*1000</f>
        <v>2044.5633322555041</v>
      </c>
      <c r="AJ77" s="188">
        <f t="shared" si="138"/>
        <v>4.8</v>
      </c>
    </row>
    <row r="78" spans="1:36" ht="22.5" customHeight="1">
      <c r="A78" s="11"/>
      <c r="B78" s="820" t="s">
        <v>18</v>
      </c>
      <c r="C78" s="822"/>
      <c r="D78" s="694" t="s">
        <v>569</v>
      </c>
      <c r="E78" s="9">
        <f t="shared" ref="E78:H79" si="149">E81-E75</f>
        <v>20482</v>
      </c>
      <c r="F78" s="9">
        <f t="shared" si="149"/>
        <v>24784</v>
      </c>
      <c r="G78" s="177">
        <f t="shared" si="149"/>
        <v>23420</v>
      </c>
      <c r="H78" s="520">
        <f t="shared" si="149"/>
        <v>26513</v>
      </c>
      <c r="I78" s="607">
        <f>I81-I75</f>
        <v>15027</v>
      </c>
      <c r="J78" s="607">
        <f t="shared" ref="J78:K78" si="150">J81-J75</f>
        <v>1663</v>
      </c>
      <c r="K78" s="607">
        <f t="shared" si="150"/>
        <v>683</v>
      </c>
      <c r="L78" s="189">
        <f t="shared" si="127"/>
        <v>-58.9</v>
      </c>
      <c r="M78" s="296">
        <f>M81-M75</f>
        <v>1733</v>
      </c>
      <c r="N78" s="296">
        <f>N81-N75</f>
        <v>207</v>
      </c>
      <c r="O78" s="189">
        <f t="shared" si="128"/>
        <v>-88.1</v>
      </c>
      <c r="P78" s="607">
        <f>P81-P75</f>
        <v>3396</v>
      </c>
      <c r="Q78" s="607">
        <f>Q81-Q75</f>
        <v>890</v>
      </c>
      <c r="R78" s="189">
        <f t="shared" si="129"/>
        <v>-73.8</v>
      </c>
      <c r="S78" s="296">
        <f>S81-S75</f>
        <v>1652</v>
      </c>
      <c r="T78" s="296">
        <f>T81-T75</f>
        <v>1645</v>
      </c>
      <c r="U78" s="189">
        <f t="shared" si="130"/>
        <v>-0.4</v>
      </c>
      <c r="V78" s="607">
        <f>V81-V75</f>
        <v>5048</v>
      </c>
      <c r="W78" s="607">
        <f>W81-W75</f>
        <v>2535</v>
      </c>
      <c r="X78" s="189">
        <f t="shared" si="132"/>
        <v>-49.8</v>
      </c>
      <c r="Y78" s="296">
        <f>Y81-Y75</f>
        <v>1371</v>
      </c>
      <c r="Z78" s="296">
        <f>Z81-Z75</f>
        <v>1394</v>
      </c>
      <c r="AA78" s="189">
        <f t="shared" si="133"/>
        <v>1.7</v>
      </c>
      <c r="AB78" s="607">
        <f>AB81-AB75</f>
        <v>6419</v>
      </c>
      <c r="AC78" s="607">
        <f>AC81-AC75</f>
        <v>3929</v>
      </c>
      <c r="AD78" s="189">
        <f t="shared" si="135"/>
        <v>-38.799999999999997</v>
      </c>
      <c r="AE78" s="296">
        <f>AE81-AE75</f>
        <v>1432</v>
      </c>
      <c r="AF78" s="296">
        <f>AF81-AF75</f>
        <v>1355</v>
      </c>
      <c r="AG78" s="189">
        <f t="shared" si="136"/>
        <v>-5.4</v>
      </c>
      <c r="AH78" s="607">
        <f>AH81-AH75</f>
        <v>7851</v>
      </c>
      <c r="AI78" s="607">
        <f>AI81-AI75</f>
        <v>5284</v>
      </c>
      <c r="AJ78" s="189">
        <f t="shared" si="138"/>
        <v>-32.700000000000003</v>
      </c>
    </row>
    <row r="79" spans="1:36" ht="22.5" customHeight="1">
      <c r="A79" s="11"/>
      <c r="B79" s="820"/>
      <c r="C79" s="822"/>
      <c r="D79" s="345" t="s">
        <v>8</v>
      </c>
      <c r="E79" s="5">
        <f t="shared" si="149"/>
        <v>35064</v>
      </c>
      <c r="F79" s="5">
        <f t="shared" si="149"/>
        <v>52059</v>
      </c>
      <c r="G79" s="174">
        <f t="shared" si="149"/>
        <v>49148</v>
      </c>
      <c r="H79" s="401">
        <f t="shared" si="149"/>
        <v>48020</v>
      </c>
      <c r="I79" s="606">
        <f>I82-I76</f>
        <v>31319</v>
      </c>
      <c r="J79" s="606">
        <f t="shared" ref="J79:K79" si="151">J82-J76</f>
        <v>3309</v>
      </c>
      <c r="K79" s="606">
        <f t="shared" si="151"/>
        <v>1862</v>
      </c>
      <c r="L79" s="187">
        <f t="shared" si="127"/>
        <v>-43.7</v>
      </c>
      <c r="M79" s="294">
        <f>M82-M76</f>
        <v>12108</v>
      </c>
      <c r="N79" s="294">
        <f>N82-N76</f>
        <v>554</v>
      </c>
      <c r="O79" s="187">
        <f t="shared" si="128"/>
        <v>-95.4</v>
      </c>
      <c r="P79" s="606">
        <f>P82-P76</f>
        <v>15417</v>
      </c>
      <c r="Q79" s="606">
        <f>Q82-Q76</f>
        <v>2416</v>
      </c>
      <c r="R79" s="187">
        <f t="shared" si="129"/>
        <v>-84.3</v>
      </c>
      <c r="S79" s="294">
        <f>S82-S76</f>
        <v>-5164</v>
      </c>
      <c r="T79" s="294">
        <f>T82-T76</f>
        <v>3379</v>
      </c>
      <c r="U79" s="187">
        <f t="shared" si="130"/>
        <v>-165.4</v>
      </c>
      <c r="V79" s="606">
        <f>V82-V76</f>
        <v>10253</v>
      </c>
      <c r="W79" s="606">
        <f>W82-W76</f>
        <v>5795</v>
      </c>
      <c r="X79" s="187">
        <f t="shared" si="132"/>
        <v>-43.5</v>
      </c>
      <c r="Y79" s="294">
        <f>Y82-Y76</f>
        <v>2862</v>
      </c>
      <c r="Z79" s="294">
        <f>Z82-Z76</f>
        <v>3068</v>
      </c>
      <c r="AA79" s="187">
        <f t="shared" si="133"/>
        <v>7.2</v>
      </c>
      <c r="AB79" s="606">
        <f>AB82-AB76</f>
        <v>13115</v>
      </c>
      <c r="AC79" s="606">
        <f>AC82-AC76</f>
        <v>8863</v>
      </c>
      <c r="AD79" s="187">
        <f t="shared" si="135"/>
        <v>-32.4</v>
      </c>
      <c r="AE79" s="294">
        <f>AE82-AE76</f>
        <v>2506</v>
      </c>
      <c r="AF79" s="294">
        <f>AF82-AF76</f>
        <v>3039</v>
      </c>
      <c r="AG79" s="187">
        <f t="shared" si="136"/>
        <v>21.3</v>
      </c>
      <c r="AH79" s="606">
        <f>AH82-AH76</f>
        <v>15621</v>
      </c>
      <c r="AI79" s="606">
        <f>AI82-AI76</f>
        <v>11902</v>
      </c>
      <c r="AJ79" s="187">
        <f t="shared" si="138"/>
        <v>-23.8</v>
      </c>
    </row>
    <row r="80" spans="1:36" ht="22.5" customHeight="1">
      <c r="A80" s="11"/>
      <c r="B80" s="820"/>
      <c r="C80" s="822"/>
      <c r="D80" s="347" t="s">
        <v>9</v>
      </c>
      <c r="E80" s="10">
        <f t="shared" ref="E80:G80" si="152">E79/E78*1000</f>
        <v>1711.9421931452005</v>
      </c>
      <c r="F80" s="10">
        <f t="shared" si="152"/>
        <v>2100.5083925112976</v>
      </c>
      <c r="G80" s="178">
        <f t="shared" si="152"/>
        <v>2098.5482493595214</v>
      </c>
      <c r="H80" s="405">
        <f>H79/H78*1000</f>
        <v>1811.1869648851507</v>
      </c>
      <c r="I80" s="514">
        <f>I79/I78*1000</f>
        <v>2084.1818060823848</v>
      </c>
      <c r="J80" s="514">
        <f t="shared" ref="J80:K80" si="153">J79/J78*1000</f>
        <v>1989.777510523151</v>
      </c>
      <c r="K80" s="514">
        <f t="shared" si="153"/>
        <v>2726.2079062957541</v>
      </c>
      <c r="L80" s="188">
        <f t="shared" si="127"/>
        <v>37</v>
      </c>
      <c r="M80" s="295">
        <f>M79/M78*1000</f>
        <v>6986.7282169648015</v>
      </c>
      <c r="N80" s="295">
        <f>N79/N78*1000</f>
        <v>2676.3285024154588</v>
      </c>
      <c r="O80" s="188">
        <f t="shared" si="128"/>
        <v>-61.7</v>
      </c>
      <c r="P80" s="514">
        <f>P79/P78*1000</f>
        <v>4539.7526501766788</v>
      </c>
      <c r="Q80" s="514">
        <f>Q79/Q78*1000</f>
        <v>2714.6067415730336</v>
      </c>
      <c r="R80" s="188">
        <f t="shared" si="129"/>
        <v>-40.200000000000003</v>
      </c>
      <c r="S80" s="295">
        <f>S79/S78*1000</f>
        <v>-3125.9079903147699</v>
      </c>
      <c r="T80" s="295">
        <f>T79/T78*1000</f>
        <v>2054.1033434650458</v>
      </c>
      <c r="U80" s="188">
        <f t="shared" si="130"/>
        <v>-165.7</v>
      </c>
      <c r="V80" s="514">
        <f>V79/V78*1000</f>
        <v>2031.1014263074485</v>
      </c>
      <c r="W80" s="514">
        <f t="shared" ref="W80" si="154">W79/W78*1000</f>
        <v>2285.9960552268244</v>
      </c>
      <c r="X80" s="188">
        <f t="shared" si="132"/>
        <v>12.5</v>
      </c>
      <c r="Y80" s="295">
        <f>Y79/Y78*1000</f>
        <v>2087.5273522975931</v>
      </c>
      <c r="Z80" s="295">
        <f>Z79/Z78*1000</f>
        <v>2200.8608321377328</v>
      </c>
      <c r="AA80" s="188">
        <f t="shared" si="133"/>
        <v>5.4</v>
      </c>
      <c r="AB80" s="514">
        <f>AB79/AB78*1000</f>
        <v>2043.153139118243</v>
      </c>
      <c r="AC80" s="514">
        <f t="shared" ref="AC80" si="155">AC79/AC78*1000</f>
        <v>2255.7902774242812</v>
      </c>
      <c r="AD80" s="188">
        <f t="shared" si="135"/>
        <v>10.4</v>
      </c>
      <c r="AE80" s="295">
        <f>AE79/AE78*1000</f>
        <v>1750</v>
      </c>
      <c r="AF80" s="295">
        <f>AF79/AF78*1000</f>
        <v>2242.8044280442805</v>
      </c>
      <c r="AG80" s="188">
        <f t="shared" si="136"/>
        <v>28.2</v>
      </c>
      <c r="AH80" s="514">
        <f>AH79/AH78*1000</f>
        <v>1989.6828429499426</v>
      </c>
      <c r="AI80" s="514">
        <f t="shared" ref="AI80" si="156">AI79/AI78*1000</f>
        <v>2252.460257380772</v>
      </c>
      <c r="AJ80" s="188">
        <f t="shared" si="138"/>
        <v>13.2</v>
      </c>
    </row>
    <row r="81" spans="1:36" ht="22.5" customHeight="1">
      <c r="A81" s="11"/>
      <c r="B81" s="824" t="s">
        <v>19</v>
      </c>
      <c r="C81" s="825"/>
      <c r="D81" s="12" t="s">
        <v>569</v>
      </c>
      <c r="E81" s="13">
        <v>153734</v>
      </c>
      <c r="F81" s="13">
        <v>154354</v>
      </c>
      <c r="G81" s="179">
        <v>167186</v>
      </c>
      <c r="H81" s="406">
        <v>151473</v>
      </c>
      <c r="I81" s="521">
        <v>154486</v>
      </c>
      <c r="J81" s="521">
        <v>12509</v>
      </c>
      <c r="K81" s="298">
        <v>13741</v>
      </c>
      <c r="L81" s="191">
        <f t="shared" si="127"/>
        <v>9.8000000000000007</v>
      </c>
      <c r="M81" s="298">
        <f>P81-J81</f>
        <v>9241</v>
      </c>
      <c r="N81" s="298">
        <f>Q81-K81</f>
        <v>10227</v>
      </c>
      <c r="O81" s="191">
        <f t="shared" si="128"/>
        <v>10.7</v>
      </c>
      <c r="P81" s="521">
        <v>21750</v>
      </c>
      <c r="Q81" s="521">
        <v>23968</v>
      </c>
      <c r="R81" s="191">
        <f t="shared" si="129"/>
        <v>10.199999999999999</v>
      </c>
      <c r="S81" s="298">
        <f>V81-P81</f>
        <v>12131</v>
      </c>
      <c r="T81" s="298">
        <f>W81-Q81</f>
        <v>18665</v>
      </c>
      <c r="U81" s="191">
        <f t="shared" si="130"/>
        <v>53.9</v>
      </c>
      <c r="V81" s="521">
        <v>33881</v>
      </c>
      <c r="W81" s="521">
        <v>42633</v>
      </c>
      <c r="X81" s="191">
        <f t="shared" si="132"/>
        <v>25.8</v>
      </c>
      <c r="Y81" s="298">
        <f>AB81-V81</f>
        <v>10297</v>
      </c>
      <c r="Z81" s="298">
        <f>AC81-W81</f>
        <v>16596</v>
      </c>
      <c r="AA81" s="191">
        <f t="shared" si="133"/>
        <v>61.2</v>
      </c>
      <c r="AB81" s="521">
        <v>44178</v>
      </c>
      <c r="AC81" s="521">
        <v>59229</v>
      </c>
      <c r="AD81" s="191">
        <f t="shared" si="135"/>
        <v>34.1</v>
      </c>
      <c r="AE81" s="298">
        <f>AH81-AB81</f>
        <v>8991</v>
      </c>
      <c r="AF81" s="298">
        <f>AI81-AC81</f>
        <v>14093</v>
      </c>
      <c r="AG81" s="191">
        <f t="shared" si="136"/>
        <v>56.7</v>
      </c>
      <c r="AH81" s="521">
        <v>53169</v>
      </c>
      <c r="AI81" s="521">
        <v>73322</v>
      </c>
      <c r="AJ81" s="191">
        <f t="shared" si="138"/>
        <v>37.9</v>
      </c>
    </row>
    <row r="82" spans="1:36" ht="22.5" customHeight="1">
      <c r="A82" s="11"/>
      <c r="B82" s="824"/>
      <c r="C82" s="825"/>
      <c r="D82" s="346" t="s">
        <v>298</v>
      </c>
      <c r="E82" s="15">
        <v>280289</v>
      </c>
      <c r="F82" s="15">
        <v>350148</v>
      </c>
      <c r="G82" s="180">
        <v>389373</v>
      </c>
      <c r="H82" s="407">
        <v>306235</v>
      </c>
      <c r="I82" s="522">
        <v>295873</v>
      </c>
      <c r="J82" s="522">
        <v>25810</v>
      </c>
      <c r="K82" s="299">
        <v>28326</v>
      </c>
      <c r="L82" s="192">
        <f t="shared" si="127"/>
        <v>9.6999999999999993</v>
      </c>
      <c r="M82" s="299">
        <f>P82-J82</f>
        <v>18751</v>
      </c>
      <c r="N82" s="299">
        <f>Q82-K82</f>
        <v>20681</v>
      </c>
      <c r="O82" s="192">
        <f t="shared" si="128"/>
        <v>10.3</v>
      </c>
      <c r="P82" s="522">
        <v>44561</v>
      </c>
      <c r="Q82" s="522">
        <v>49007</v>
      </c>
      <c r="R82" s="192">
        <f t="shared" si="129"/>
        <v>10</v>
      </c>
      <c r="S82" s="299">
        <f>V82-P82</f>
        <v>23978</v>
      </c>
      <c r="T82" s="299">
        <f>W82-Q82</f>
        <v>38705</v>
      </c>
      <c r="U82" s="192">
        <f t="shared" si="130"/>
        <v>61.4</v>
      </c>
      <c r="V82" s="522">
        <v>68539</v>
      </c>
      <c r="W82" s="522">
        <v>87712</v>
      </c>
      <c r="X82" s="192">
        <f t="shared" si="132"/>
        <v>28</v>
      </c>
      <c r="Y82" s="299">
        <f>AB82-V82</f>
        <v>19282</v>
      </c>
      <c r="Z82" s="299">
        <f>AC82-W82</f>
        <v>34072</v>
      </c>
      <c r="AA82" s="192">
        <f t="shared" si="133"/>
        <v>76.7</v>
      </c>
      <c r="AB82" s="522">
        <v>87821</v>
      </c>
      <c r="AC82" s="522">
        <v>121784</v>
      </c>
      <c r="AD82" s="192">
        <f t="shared" si="135"/>
        <v>38.700000000000003</v>
      </c>
      <c r="AE82" s="299">
        <f>AH82-AB82</f>
        <v>16228</v>
      </c>
      <c r="AF82" s="299">
        <f>AI82-AC82</f>
        <v>29226</v>
      </c>
      <c r="AG82" s="192">
        <f t="shared" si="136"/>
        <v>80.099999999999994</v>
      </c>
      <c r="AH82" s="522">
        <v>104049</v>
      </c>
      <c r="AI82" s="522">
        <v>151010</v>
      </c>
      <c r="AJ82" s="192">
        <f t="shared" si="138"/>
        <v>45.1</v>
      </c>
    </row>
    <row r="83" spans="1:36" ht="22.5" customHeight="1">
      <c r="A83" s="11"/>
      <c r="B83" s="824"/>
      <c r="C83" s="825"/>
      <c r="D83" s="348" t="s">
        <v>299</v>
      </c>
      <c r="E83" s="17">
        <f t="shared" ref="E83:G83" si="157">E82/E81*1000</f>
        <v>1823.2076183537799</v>
      </c>
      <c r="F83" s="17">
        <f t="shared" si="157"/>
        <v>2268.4737680915296</v>
      </c>
      <c r="G83" s="181">
        <f t="shared" si="157"/>
        <v>2328.9808955295302</v>
      </c>
      <c r="H83" s="408">
        <f>H82/H81*1000</f>
        <v>2021.7134406791968</v>
      </c>
      <c r="I83" s="515">
        <f>I82/I81*1000</f>
        <v>1915.2091451652577</v>
      </c>
      <c r="J83" s="515">
        <f t="shared" ref="J83:K83" si="158">J82/J81*1000</f>
        <v>2063.3144136221922</v>
      </c>
      <c r="K83" s="515">
        <f t="shared" si="158"/>
        <v>2061.4220216869226</v>
      </c>
      <c r="L83" s="193">
        <f t="shared" si="127"/>
        <v>-0.1</v>
      </c>
      <c r="M83" s="300">
        <f>M82/M81*1000</f>
        <v>2029.1094037441835</v>
      </c>
      <c r="N83" s="300">
        <f>N82/N81*1000</f>
        <v>2022.1961474528212</v>
      </c>
      <c r="O83" s="193">
        <f t="shared" si="128"/>
        <v>-0.3</v>
      </c>
      <c r="P83" s="515">
        <f>P82/P81*1000</f>
        <v>2048.7816091954019</v>
      </c>
      <c r="Q83" s="515">
        <f>Q82/Q81*1000</f>
        <v>2044.6845794392523</v>
      </c>
      <c r="R83" s="193">
        <f t="shared" si="129"/>
        <v>-0.2</v>
      </c>
      <c r="S83" s="300">
        <f>S82/S81*1000</f>
        <v>1976.5889044596488</v>
      </c>
      <c r="T83" s="300">
        <f>T82/T81*1000</f>
        <v>2073.6672917224755</v>
      </c>
      <c r="U83" s="193">
        <f t="shared" si="130"/>
        <v>4.9000000000000004</v>
      </c>
      <c r="V83" s="515">
        <f>V82/V81*1000</f>
        <v>2022.9332074023789</v>
      </c>
      <c r="W83" s="515">
        <f t="shared" ref="W83" si="159">W82/W81*1000</f>
        <v>2057.3733961954354</v>
      </c>
      <c r="X83" s="193">
        <f t="shared" si="132"/>
        <v>1.7</v>
      </c>
      <c r="Y83" s="300">
        <f>Y82/Y81*1000</f>
        <v>1872.5842478391764</v>
      </c>
      <c r="Z83" s="300">
        <f>Z82/Z81*1000</f>
        <v>2053.0248252590986</v>
      </c>
      <c r="AA83" s="193">
        <f t="shared" si="133"/>
        <v>9.6</v>
      </c>
      <c r="AB83" s="515"/>
      <c r="AC83" s="515">
        <f t="shared" ref="AC83" si="160">AC82/AC81*1000</f>
        <v>2056.1549241081229</v>
      </c>
      <c r="AD83" s="193" t="e">
        <f t="shared" si="135"/>
        <v>#DIV/0!</v>
      </c>
      <c r="AE83" s="300">
        <f>AE82/AE81*1000</f>
        <v>1804.9160271382493</v>
      </c>
      <c r="AF83" s="300">
        <f>AF82/AF81*1000</f>
        <v>2073.7955013127084</v>
      </c>
      <c r="AG83" s="193">
        <f t="shared" si="136"/>
        <v>14.9</v>
      </c>
      <c r="AH83" s="515">
        <f t="shared" ref="AH83:AI83" si="161">AH82/AH81*1000</f>
        <v>1956.9485978671783</v>
      </c>
      <c r="AI83" s="515">
        <f t="shared" si="161"/>
        <v>2059.5455661329479</v>
      </c>
      <c r="AJ83" s="193">
        <f t="shared" si="138"/>
        <v>5.2</v>
      </c>
    </row>
    <row r="84" spans="1:36" ht="22.5" customHeight="1">
      <c r="A84" s="778" t="s">
        <v>28</v>
      </c>
      <c r="B84" s="820" t="s">
        <v>26</v>
      </c>
      <c r="C84" s="822">
        <v>7502</v>
      </c>
      <c r="D84" s="694" t="s">
        <v>569</v>
      </c>
      <c r="E84" s="9">
        <v>24934</v>
      </c>
      <c r="F84" s="9">
        <v>23280</v>
      </c>
      <c r="G84" s="177">
        <v>29120</v>
      </c>
      <c r="H84" s="520">
        <v>33849</v>
      </c>
      <c r="I84" s="607">
        <v>27340</v>
      </c>
      <c r="J84" s="607">
        <v>2897</v>
      </c>
      <c r="K84" s="296">
        <v>2634</v>
      </c>
      <c r="L84" s="189">
        <f t="shared" si="127"/>
        <v>-9.1</v>
      </c>
      <c r="M84" s="296">
        <f>P84-J84</f>
        <v>2279</v>
      </c>
      <c r="N84" s="296">
        <f>Q84-K84</f>
        <v>2239</v>
      </c>
      <c r="O84" s="189">
        <f t="shared" si="128"/>
        <v>-1.8</v>
      </c>
      <c r="P84" s="607">
        <v>5176</v>
      </c>
      <c r="Q84" s="607">
        <v>4873</v>
      </c>
      <c r="R84" s="189">
        <f t="shared" si="129"/>
        <v>-5.9</v>
      </c>
      <c r="S84" s="296">
        <f>V84-P84</f>
        <v>1830</v>
      </c>
      <c r="T84" s="296">
        <f>W84-Q84</f>
        <v>3074</v>
      </c>
      <c r="U84" s="189">
        <f t="shared" si="130"/>
        <v>68</v>
      </c>
      <c r="V84" s="607">
        <v>7006</v>
      </c>
      <c r="W84" s="607">
        <v>7947</v>
      </c>
      <c r="X84" s="189">
        <f t="shared" si="132"/>
        <v>13.4</v>
      </c>
      <c r="Y84" s="296">
        <f>AB84-V84</f>
        <v>2194</v>
      </c>
      <c r="Z84" s="296">
        <f>AC84-W84</f>
        <v>3822</v>
      </c>
      <c r="AA84" s="189">
        <f t="shared" si="133"/>
        <v>74.2</v>
      </c>
      <c r="AB84" s="607">
        <v>9200</v>
      </c>
      <c r="AC84" s="607">
        <v>11769</v>
      </c>
      <c r="AD84" s="189">
        <f t="shared" si="135"/>
        <v>27.9</v>
      </c>
      <c r="AE84" s="296">
        <f>AH84-AB84</f>
        <v>1945</v>
      </c>
      <c r="AF84" s="296">
        <f>AI84-AC84</f>
        <v>3129</v>
      </c>
      <c r="AG84" s="189">
        <f t="shared" si="136"/>
        <v>60.9</v>
      </c>
      <c r="AH84" s="607">
        <v>11145</v>
      </c>
      <c r="AI84" s="607">
        <v>14898</v>
      </c>
      <c r="AJ84" s="189">
        <f t="shared" si="138"/>
        <v>33.700000000000003</v>
      </c>
    </row>
    <row r="85" spans="1:36" ht="22.5" customHeight="1">
      <c r="A85" s="819"/>
      <c r="B85" s="820"/>
      <c r="C85" s="822"/>
      <c r="D85" s="345" t="s">
        <v>8</v>
      </c>
      <c r="E85" s="5">
        <v>235525</v>
      </c>
      <c r="F85" s="5">
        <v>251766</v>
      </c>
      <c r="G85" s="174">
        <v>402545</v>
      </c>
      <c r="H85" s="401">
        <v>471344</v>
      </c>
      <c r="I85" s="606">
        <v>388406</v>
      </c>
      <c r="J85" s="606">
        <v>42998</v>
      </c>
      <c r="K85" s="294">
        <v>44615</v>
      </c>
      <c r="L85" s="187">
        <f>ROUND(((K85/J85-1)*100),1)</f>
        <v>3.8</v>
      </c>
      <c r="M85" s="294">
        <f>P85-J85</f>
        <v>31681</v>
      </c>
      <c r="N85" s="294">
        <f>Q85-K85</f>
        <v>40219</v>
      </c>
      <c r="O85" s="187">
        <f t="shared" si="128"/>
        <v>26.9</v>
      </c>
      <c r="P85" s="606">
        <v>74679</v>
      </c>
      <c r="Q85" s="606">
        <v>84834</v>
      </c>
      <c r="R85" s="187">
        <f t="shared" si="129"/>
        <v>13.6</v>
      </c>
      <c r="S85" s="294">
        <f>V85-P85</f>
        <v>24595</v>
      </c>
      <c r="T85" s="294">
        <f>W85-Q85</f>
        <v>56750</v>
      </c>
      <c r="U85" s="187">
        <f t="shared" si="130"/>
        <v>130.69999999999999</v>
      </c>
      <c r="V85" s="606">
        <v>99274</v>
      </c>
      <c r="W85" s="606">
        <v>141584</v>
      </c>
      <c r="X85" s="187">
        <f t="shared" si="132"/>
        <v>42.6</v>
      </c>
      <c r="Y85" s="294">
        <f>AB85-V85</f>
        <v>27993</v>
      </c>
      <c r="Z85" s="294">
        <f>AC85-W85</f>
        <v>65918</v>
      </c>
      <c r="AA85" s="187">
        <f t="shared" si="133"/>
        <v>135.5</v>
      </c>
      <c r="AB85" s="606">
        <v>127267</v>
      </c>
      <c r="AC85" s="606">
        <v>207502</v>
      </c>
      <c r="AD85" s="187">
        <f t="shared" si="135"/>
        <v>63</v>
      </c>
      <c r="AE85" s="294">
        <f>AH85-AB85</f>
        <v>24939</v>
      </c>
      <c r="AF85" s="294">
        <f>AI85-AC85</f>
        <v>54623</v>
      </c>
      <c r="AG85" s="187">
        <f t="shared" si="136"/>
        <v>119</v>
      </c>
      <c r="AH85" s="606">
        <v>152206</v>
      </c>
      <c r="AI85" s="606">
        <v>262125</v>
      </c>
      <c r="AJ85" s="187">
        <f t="shared" si="138"/>
        <v>72.2</v>
      </c>
    </row>
    <row r="86" spans="1:36" ht="22.5" customHeight="1">
      <c r="A86" s="11"/>
      <c r="B86" s="820"/>
      <c r="C86" s="822"/>
      <c r="D86" s="347" t="s">
        <v>9</v>
      </c>
      <c r="E86" s="10">
        <f t="shared" ref="E86:G86" si="162">E85/E84*1000</f>
        <v>9445.9372744044267</v>
      </c>
      <c r="F86" s="10">
        <f t="shared" si="162"/>
        <v>10814.690721649484</v>
      </c>
      <c r="G86" s="178">
        <f t="shared" si="162"/>
        <v>13823.660714285714</v>
      </c>
      <c r="H86" s="405">
        <f>H85/H84*1000</f>
        <v>13924.901769623919</v>
      </c>
      <c r="I86" s="514">
        <f>I85/I84*1000</f>
        <v>14206.510607168982</v>
      </c>
      <c r="J86" s="514">
        <f t="shared" ref="J86:K86" si="163">J85/J84*1000</f>
        <v>14842.250604073179</v>
      </c>
      <c r="K86" s="514">
        <f t="shared" si="163"/>
        <v>16938.116932422174</v>
      </c>
      <c r="L86" s="188">
        <f t="shared" si="127"/>
        <v>14.1</v>
      </c>
      <c r="M86" s="295">
        <f>M85/M84*1000</f>
        <v>13901.272487933305</v>
      </c>
      <c r="N86" s="295">
        <f>N85/N84*1000</f>
        <v>17962.929879410454</v>
      </c>
      <c r="O86" s="188">
        <f t="shared" si="128"/>
        <v>29.2</v>
      </c>
      <c r="P86" s="514">
        <f>P85/P84*1000</f>
        <v>14427.936630602782</v>
      </c>
      <c r="Q86" s="514">
        <f>Q85/Q84*1000</f>
        <v>17408.988302893493</v>
      </c>
      <c r="R86" s="188">
        <f t="shared" si="129"/>
        <v>20.7</v>
      </c>
      <c r="S86" s="295">
        <f>S85/S84*1000</f>
        <v>13439.890710382513</v>
      </c>
      <c r="T86" s="295">
        <f>T85/T84*1000</f>
        <v>18461.288223812622</v>
      </c>
      <c r="U86" s="188">
        <f t="shared" si="130"/>
        <v>37.4</v>
      </c>
      <c r="V86" s="514">
        <f>V85/V84*1000</f>
        <v>14169.854410505281</v>
      </c>
      <c r="W86" s="514">
        <f t="shared" ref="W86" si="164">W85/W84*1000</f>
        <v>17816.031206744683</v>
      </c>
      <c r="X86" s="188">
        <f t="shared" si="132"/>
        <v>25.7</v>
      </c>
      <c r="Y86" s="295">
        <f>Y85/Y84*1000</f>
        <v>12758.887876025523</v>
      </c>
      <c r="Z86" s="295">
        <f>Z85/Z84*1000</f>
        <v>17246.991104133962</v>
      </c>
      <c r="AA86" s="188">
        <f t="shared" si="133"/>
        <v>35.200000000000003</v>
      </c>
      <c r="AB86" s="514">
        <f>AB85/AB84*1000</f>
        <v>13833.36956521739</v>
      </c>
      <c r="AC86" s="514">
        <f t="shared" ref="AC86" si="165">AC85/AC84*1000</f>
        <v>17631.23459937123</v>
      </c>
      <c r="AD86" s="188">
        <f t="shared" si="135"/>
        <v>27.5</v>
      </c>
      <c r="AE86" s="295">
        <f>AE85/AE84*1000</f>
        <v>12822.107969151672</v>
      </c>
      <c r="AF86" s="295">
        <f>AF85/AF84*1000</f>
        <v>17457.015020773411</v>
      </c>
      <c r="AG86" s="188">
        <f t="shared" si="136"/>
        <v>36.1</v>
      </c>
      <c r="AH86" s="514">
        <f>AH85/AH84*1000</f>
        <v>13656.886496186631</v>
      </c>
      <c r="AI86" s="514">
        <f t="shared" ref="AI86" si="166">AI85/AI84*1000</f>
        <v>17594.643576318969</v>
      </c>
      <c r="AJ86" s="188">
        <f t="shared" si="138"/>
        <v>28.8</v>
      </c>
    </row>
    <row r="87" spans="1:36" ht="22.5" customHeight="1">
      <c r="A87" s="11"/>
      <c r="B87" s="820" t="s">
        <v>18</v>
      </c>
      <c r="C87" s="822"/>
      <c r="D87" s="694" t="s">
        <v>569</v>
      </c>
      <c r="E87" s="9">
        <f t="shared" ref="E87:H88" si="167">E90-E84</f>
        <v>37055</v>
      </c>
      <c r="F87" s="9">
        <f t="shared" si="167"/>
        <v>32165</v>
      </c>
      <c r="G87" s="177">
        <f t="shared" si="167"/>
        <v>27529</v>
      </c>
      <c r="H87" s="520">
        <f t="shared" si="167"/>
        <v>27274</v>
      </c>
      <c r="I87" s="607">
        <f>I90-I84</f>
        <v>30627</v>
      </c>
      <c r="J87" s="607">
        <f t="shared" ref="J87:K87" si="168">J90-J84</f>
        <v>2004</v>
      </c>
      <c r="K87" s="607">
        <f t="shared" si="168"/>
        <v>2844</v>
      </c>
      <c r="L87" s="189">
        <f t="shared" si="127"/>
        <v>41.9</v>
      </c>
      <c r="M87" s="296">
        <f>M90-M84</f>
        <v>2966</v>
      </c>
      <c r="N87" s="296">
        <f>N90-N84</f>
        <v>1959</v>
      </c>
      <c r="O87" s="189">
        <f t="shared" si="128"/>
        <v>-34</v>
      </c>
      <c r="P87" s="607">
        <f>P90-P84</f>
        <v>4970</v>
      </c>
      <c r="Q87" s="607">
        <f>Q90-Q84</f>
        <v>4803</v>
      </c>
      <c r="R87" s="189">
        <f t="shared" si="129"/>
        <v>-3.4</v>
      </c>
      <c r="S87" s="296">
        <f>S90-S84</f>
        <v>2623</v>
      </c>
      <c r="T87" s="296">
        <f>T90-T84</f>
        <v>4393</v>
      </c>
      <c r="U87" s="189">
        <f t="shared" si="130"/>
        <v>67.5</v>
      </c>
      <c r="V87" s="607">
        <f>V90-V84</f>
        <v>7593</v>
      </c>
      <c r="W87" s="607">
        <f>W90-W84</f>
        <v>9196</v>
      </c>
      <c r="X87" s="189">
        <f t="shared" si="132"/>
        <v>21.1</v>
      </c>
      <c r="Y87" s="296">
        <f>Y90-Y84</f>
        <v>3168</v>
      </c>
      <c r="Z87" s="296">
        <f>Z90-Z84</f>
        <v>2052</v>
      </c>
      <c r="AA87" s="189">
        <f t="shared" si="133"/>
        <v>-35.200000000000003</v>
      </c>
      <c r="AB87" s="607">
        <f>AB90-AB84</f>
        <v>10761</v>
      </c>
      <c r="AC87" s="607">
        <f>AC90-AC84</f>
        <v>11248</v>
      </c>
      <c r="AD87" s="189">
        <f t="shared" si="135"/>
        <v>4.5</v>
      </c>
      <c r="AE87" s="296">
        <f>AE90-AE84</f>
        <v>2341</v>
      </c>
      <c r="AF87" s="296">
        <f>AF90-AF84</f>
        <v>3582</v>
      </c>
      <c r="AG87" s="189">
        <f t="shared" si="136"/>
        <v>53</v>
      </c>
      <c r="AH87" s="607">
        <f>AH90-AH84</f>
        <v>13102</v>
      </c>
      <c r="AI87" s="607">
        <f>AI90-AI84</f>
        <v>14830</v>
      </c>
      <c r="AJ87" s="189">
        <f t="shared" si="138"/>
        <v>13.2</v>
      </c>
    </row>
    <row r="88" spans="1:36" ht="22.5" customHeight="1">
      <c r="A88" s="11"/>
      <c r="B88" s="820"/>
      <c r="C88" s="822"/>
      <c r="D88" s="345" t="s">
        <v>8</v>
      </c>
      <c r="E88" s="5">
        <f t="shared" si="167"/>
        <v>511959</v>
      </c>
      <c r="F88" s="5">
        <f t="shared" si="167"/>
        <v>549858</v>
      </c>
      <c r="G88" s="174">
        <f t="shared" si="167"/>
        <v>603748</v>
      </c>
      <c r="H88" s="401">
        <f t="shared" si="167"/>
        <v>624448</v>
      </c>
      <c r="I88" s="606">
        <f>I91-I85</f>
        <v>622873</v>
      </c>
      <c r="J88" s="606">
        <f t="shared" ref="J88:K88" si="169">J91-J85</f>
        <v>46095</v>
      </c>
      <c r="K88" s="606">
        <f t="shared" si="169"/>
        <v>57525</v>
      </c>
      <c r="L88" s="187">
        <f t="shared" si="127"/>
        <v>24.8</v>
      </c>
      <c r="M88" s="294">
        <f>M91-M85</f>
        <v>55269</v>
      </c>
      <c r="N88" s="294">
        <f>N91-N85</f>
        <v>45989</v>
      </c>
      <c r="O88" s="187">
        <f t="shared" si="128"/>
        <v>-16.8</v>
      </c>
      <c r="P88" s="606">
        <f>P91-P85</f>
        <v>101364</v>
      </c>
      <c r="Q88" s="606">
        <f>Q91-Q85</f>
        <v>103514</v>
      </c>
      <c r="R88" s="187">
        <f t="shared" si="129"/>
        <v>2.1</v>
      </c>
      <c r="S88" s="294">
        <f>S91-S85</f>
        <v>56572</v>
      </c>
      <c r="T88" s="294">
        <f>T91-T85</f>
        <v>65573</v>
      </c>
      <c r="U88" s="187">
        <f t="shared" si="130"/>
        <v>15.9</v>
      </c>
      <c r="V88" s="606">
        <f>V91-V85</f>
        <v>157936</v>
      </c>
      <c r="W88" s="606">
        <f>W91-W85</f>
        <v>169087</v>
      </c>
      <c r="X88" s="187">
        <f t="shared" si="132"/>
        <v>7.1</v>
      </c>
      <c r="Y88" s="294">
        <f>Y91-Y85</f>
        <v>58004</v>
      </c>
      <c r="Z88" s="294">
        <f>Z91-Z85</f>
        <v>60370</v>
      </c>
      <c r="AA88" s="187">
        <f t="shared" si="133"/>
        <v>4.0999999999999996</v>
      </c>
      <c r="AB88" s="606">
        <f>AB91-AB85</f>
        <v>215940</v>
      </c>
      <c r="AC88" s="606">
        <f>AC91-AC85</f>
        <v>229457</v>
      </c>
      <c r="AD88" s="187">
        <f t="shared" si="135"/>
        <v>6.3</v>
      </c>
      <c r="AE88" s="294">
        <f>AE91-AE85</f>
        <v>42163</v>
      </c>
      <c r="AF88" s="294">
        <f>AF91-AF85</f>
        <v>62000</v>
      </c>
      <c r="AG88" s="187">
        <f t="shared" si="136"/>
        <v>47</v>
      </c>
      <c r="AH88" s="606">
        <f>AH91-AH85</f>
        <v>258103</v>
      </c>
      <c r="AI88" s="606">
        <f>AI91-AI85</f>
        <v>291457</v>
      </c>
      <c r="AJ88" s="187">
        <f t="shared" si="138"/>
        <v>12.9</v>
      </c>
    </row>
    <row r="89" spans="1:36" ht="22.5" customHeight="1">
      <c r="A89" s="11"/>
      <c r="B89" s="820"/>
      <c r="C89" s="822"/>
      <c r="D89" s="347" t="s">
        <v>9</v>
      </c>
      <c r="E89" s="10">
        <f t="shared" ref="E89:G89" si="170">E88/E87*1000</f>
        <v>13816.192146808797</v>
      </c>
      <c r="F89" s="10">
        <f t="shared" si="170"/>
        <v>17094.916835069173</v>
      </c>
      <c r="G89" s="178">
        <f t="shared" si="170"/>
        <v>21931.345126957025</v>
      </c>
      <c r="H89" s="405">
        <f>H88/H87*1000</f>
        <v>22895.358216616558</v>
      </c>
      <c r="I89" s="514">
        <f>I88/I87*1000</f>
        <v>20337.382048519281</v>
      </c>
      <c r="J89" s="514">
        <f t="shared" ref="J89:K89" si="171">J88/J87*1000</f>
        <v>23001.497005988025</v>
      </c>
      <c r="K89" s="514">
        <f t="shared" si="171"/>
        <v>20226.793248945145</v>
      </c>
      <c r="L89" s="188">
        <f t="shared" si="127"/>
        <v>-12.1</v>
      </c>
      <c r="M89" s="295">
        <f>M88/M87*1000</f>
        <v>18634.1874578557</v>
      </c>
      <c r="N89" s="295">
        <f>N88/N87*1000</f>
        <v>23475.752935171007</v>
      </c>
      <c r="O89" s="188">
        <f t="shared" si="128"/>
        <v>26</v>
      </c>
      <c r="P89" s="514">
        <f>P88/P87*1000</f>
        <v>20395.171026156942</v>
      </c>
      <c r="Q89" s="514">
        <f>Q88/Q87*1000</f>
        <v>21551.94669997918</v>
      </c>
      <c r="R89" s="188">
        <f t="shared" si="129"/>
        <v>5.7</v>
      </c>
      <c r="S89" s="295">
        <f>S88/S87*1000</f>
        <v>21567.670606176132</v>
      </c>
      <c r="T89" s="295">
        <f>T88/T87*1000</f>
        <v>14926.701570680627</v>
      </c>
      <c r="U89" s="188">
        <f t="shared" si="130"/>
        <v>-30.8</v>
      </c>
      <c r="V89" s="514">
        <f>V88/V87*1000</f>
        <v>20800.21072040037</v>
      </c>
      <c r="W89" s="514">
        <f t="shared" ref="W89" si="172">W88/W87*1000</f>
        <v>18387.016093953891</v>
      </c>
      <c r="X89" s="188">
        <f t="shared" si="132"/>
        <v>-11.6</v>
      </c>
      <c r="Y89" s="295">
        <f>Y88/Y87*1000</f>
        <v>18309.343434343435</v>
      </c>
      <c r="Z89" s="295">
        <f>Z88/Z87*1000</f>
        <v>29420.077972709554</v>
      </c>
      <c r="AA89" s="188">
        <f t="shared" si="133"/>
        <v>60.7</v>
      </c>
      <c r="AB89" s="514">
        <f>AB88/AB87*1000</f>
        <v>20066.908279899639</v>
      </c>
      <c r="AC89" s="514">
        <f t="shared" ref="AC89" si="173">AC88/AC87*1000</f>
        <v>20399.804409672834</v>
      </c>
      <c r="AD89" s="188">
        <f t="shared" si="135"/>
        <v>1.7</v>
      </c>
      <c r="AE89" s="295">
        <f>AE88/AE87*1000</f>
        <v>18010.679196924393</v>
      </c>
      <c r="AF89" s="295">
        <f>AF88/AF87*1000</f>
        <v>17308.766052484647</v>
      </c>
      <c r="AG89" s="188">
        <f t="shared" si="136"/>
        <v>-3.9</v>
      </c>
      <c r="AH89" s="514">
        <f>AH88/AH87*1000</f>
        <v>19699.511524958023</v>
      </c>
      <c r="AI89" s="514">
        <f t="shared" ref="AI89" si="174">AI88/AI87*1000</f>
        <v>19653.20296695887</v>
      </c>
      <c r="AJ89" s="188">
        <f t="shared" si="138"/>
        <v>-0.2</v>
      </c>
    </row>
    <row r="90" spans="1:36" ht="22.5" customHeight="1">
      <c r="A90" s="11"/>
      <c r="B90" s="824" t="s">
        <v>19</v>
      </c>
      <c r="C90" s="825"/>
      <c r="D90" s="12" t="s">
        <v>569</v>
      </c>
      <c r="E90" s="13">
        <v>61989</v>
      </c>
      <c r="F90" s="13">
        <v>55445</v>
      </c>
      <c r="G90" s="179">
        <v>56649</v>
      </c>
      <c r="H90" s="406">
        <v>61123</v>
      </c>
      <c r="I90" s="521">
        <v>57967</v>
      </c>
      <c r="J90" s="521">
        <v>4901</v>
      </c>
      <c r="K90" s="298">
        <v>5478</v>
      </c>
      <c r="L90" s="191">
        <f t="shared" si="127"/>
        <v>11.8</v>
      </c>
      <c r="M90" s="298">
        <f>P90-J90</f>
        <v>5245</v>
      </c>
      <c r="N90" s="298">
        <f>Q90-K90</f>
        <v>4198</v>
      </c>
      <c r="O90" s="191">
        <f t="shared" si="128"/>
        <v>-20</v>
      </c>
      <c r="P90" s="521">
        <v>10146</v>
      </c>
      <c r="Q90" s="521">
        <v>9676</v>
      </c>
      <c r="R90" s="191">
        <f t="shared" si="129"/>
        <v>-4.5999999999999996</v>
      </c>
      <c r="S90" s="298">
        <f>V90-P90</f>
        <v>4453</v>
      </c>
      <c r="T90" s="298">
        <f>W90-Q90</f>
        <v>7467</v>
      </c>
      <c r="U90" s="191">
        <f t="shared" si="130"/>
        <v>67.7</v>
      </c>
      <c r="V90" s="521">
        <v>14599</v>
      </c>
      <c r="W90" s="521">
        <v>17143</v>
      </c>
      <c r="X90" s="191">
        <f t="shared" si="132"/>
        <v>17.399999999999999</v>
      </c>
      <c r="Y90" s="298">
        <f>AB90-V90</f>
        <v>5362</v>
      </c>
      <c r="Z90" s="298">
        <f>AC90-W90</f>
        <v>5874</v>
      </c>
      <c r="AA90" s="191">
        <f t="shared" si="133"/>
        <v>9.5</v>
      </c>
      <c r="AB90" s="521">
        <v>19961</v>
      </c>
      <c r="AC90" s="521">
        <v>23017</v>
      </c>
      <c r="AD90" s="191">
        <f t="shared" si="135"/>
        <v>15.3</v>
      </c>
      <c r="AE90" s="298">
        <f>AH90-AB90</f>
        <v>4286</v>
      </c>
      <c r="AF90" s="298">
        <f>AI90-AC90</f>
        <v>6711</v>
      </c>
      <c r="AG90" s="191">
        <f t="shared" si="136"/>
        <v>56.6</v>
      </c>
      <c r="AH90" s="521">
        <v>24247</v>
      </c>
      <c r="AI90" s="521">
        <v>29728</v>
      </c>
      <c r="AJ90" s="191">
        <f t="shared" si="138"/>
        <v>22.6</v>
      </c>
    </row>
    <row r="91" spans="1:36" ht="22.5" customHeight="1">
      <c r="A91" s="11"/>
      <c r="B91" s="824"/>
      <c r="C91" s="825"/>
      <c r="D91" s="346" t="s">
        <v>298</v>
      </c>
      <c r="E91" s="15">
        <v>747484</v>
      </c>
      <c r="F91" s="15">
        <v>801624</v>
      </c>
      <c r="G91" s="180">
        <v>1006293</v>
      </c>
      <c r="H91" s="407">
        <v>1095792</v>
      </c>
      <c r="I91" s="522">
        <v>1011279</v>
      </c>
      <c r="J91" s="522">
        <v>89093</v>
      </c>
      <c r="K91" s="299">
        <v>102140</v>
      </c>
      <c r="L91" s="192">
        <f t="shared" si="127"/>
        <v>14.6</v>
      </c>
      <c r="M91" s="299">
        <f>P91-J91</f>
        <v>86950</v>
      </c>
      <c r="N91" s="299">
        <f>Q91-K91</f>
        <v>86208</v>
      </c>
      <c r="O91" s="192">
        <f t="shared" si="128"/>
        <v>-0.9</v>
      </c>
      <c r="P91" s="522">
        <v>176043</v>
      </c>
      <c r="Q91" s="522">
        <v>188348</v>
      </c>
      <c r="R91" s="192">
        <f t="shared" si="129"/>
        <v>7</v>
      </c>
      <c r="S91" s="299">
        <f>V91-P91</f>
        <v>81167</v>
      </c>
      <c r="T91" s="299">
        <f>W91-Q91</f>
        <v>122323</v>
      </c>
      <c r="U91" s="192">
        <f t="shared" si="130"/>
        <v>50.7</v>
      </c>
      <c r="V91" s="522">
        <v>257210</v>
      </c>
      <c r="W91" s="522">
        <v>310671</v>
      </c>
      <c r="X91" s="192">
        <f t="shared" si="132"/>
        <v>20.8</v>
      </c>
      <c r="Y91" s="299">
        <f>AB91-V91</f>
        <v>85997</v>
      </c>
      <c r="Z91" s="299">
        <f>AC91-W91</f>
        <v>126288</v>
      </c>
      <c r="AA91" s="192">
        <f t="shared" si="133"/>
        <v>46.9</v>
      </c>
      <c r="AB91" s="522">
        <v>343207</v>
      </c>
      <c r="AC91" s="522">
        <v>436959</v>
      </c>
      <c r="AD91" s="192">
        <f t="shared" si="135"/>
        <v>27.3</v>
      </c>
      <c r="AE91" s="299">
        <f>AH91-AB91</f>
        <v>67102</v>
      </c>
      <c r="AF91" s="299">
        <f>AI91-AC91</f>
        <v>116623</v>
      </c>
      <c r="AG91" s="192">
        <f t="shared" si="136"/>
        <v>73.8</v>
      </c>
      <c r="AH91" s="522">
        <v>410309</v>
      </c>
      <c r="AI91" s="522">
        <v>553582</v>
      </c>
      <c r="AJ91" s="192">
        <f t="shared" si="138"/>
        <v>34.9</v>
      </c>
    </row>
    <row r="92" spans="1:36" ht="22.5" customHeight="1">
      <c r="A92" s="11"/>
      <c r="B92" s="824"/>
      <c r="C92" s="825"/>
      <c r="D92" s="348" t="s">
        <v>299</v>
      </c>
      <c r="E92" s="17">
        <f t="shared" ref="E92:G92" si="175">E91/E90*1000</f>
        <v>12058.332930035973</v>
      </c>
      <c r="F92" s="17">
        <f t="shared" si="175"/>
        <v>14458.00342681937</v>
      </c>
      <c r="G92" s="181">
        <f t="shared" si="175"/>
        <v>17763.649843774827</v>
      </c>
      <c r="H92" s="408">
        <f>H91/H90*1000</f>
        <v>17927.654074570946</v>
      </c>
      <c r="I92" s="515">
        <f>I91/I90*1000</f>
        <v>17445.770869632721</v>
      </c>
      <c r="J92" s="515">
        <f t="shared" ref="J92:K92" si="176">J91/J90*1000</f>
        <v>18178.5349928586</v>
      </c>
      <c r="K92" s="515">
        <f t="shared" si="176"/>
        <v>18645.491055129613</v>
      </c>
      <c r="L92" s="193">
        <f t="shared" si="127"/>
        <v>2.6</v>
      </c>
      <c r="M92" s="300">
        <f>M91/M90*1000</f>
        <v>16577.69304099142</v>
      </c>
      <c r="N92" s="300">
        <f>N91/N90*1000</f>
        <v>20535.493091948545</v>
      </c>
      <c r="O92" s="193">
        <f t="shared" si="128"/>
        <v>23.9</v>
      </c>
      <c r="P92" s="515">
        <f>P91/P90*1000</f>
        <v>17350.975753991723</v>
      </c>
      <c r="Q92" s="515">
        <f>Q91/Q90*1000</f>
        <v>19465.481603968579</v>
      </c>
      <c r="R92" s="193">
        <f t="shared" si="129"/>
        <v>12.2</v>
      </c>
      <c r="S92" s="300">
        <f>S91/S90*1000</f>
        <v>18227.48708735684</v>
      </c>
      <c r="T92" s="300">
        <f>T91/T90*1000</f>
        <v>16381.81331190572</v>
      </c>
      <c r="U92" s="193">
        <f t="shared" si="130"/>
        <v>-10.1</v>
      </c>
      <c r="V92" s="515">
        <f>V91/V90*1000</f>
        <v>17618.330022604288</v>
      </c>
      <c r="W92" s="515">
        <f t="shared" ref="W92" si="177">W91/W90*1000</f>
        <v>18122.323980633497</v>
      </c>
      <c r="X92" s="193">
        <f t="shared" si="132"/>
        <v>2.9</v>
      </c>
      <c r="Y92" s="300">
        <f>Y91/Y90*1000</f>
        <v>16038.232002983961</v>
      </c>
      <c r="Z92" s="300">
        <f>Z91/Z90*1000</f>
        <v>21499.489274770174</v>
      </c>
      <c r="AA92" s="193">
        <f t="shared" si="133"/>
        <v>34.1</v>
      </c>
      <c r="AB92" s="515">
        <f t="shared" ref="AB92:AC92" si="178">AB91/AB90*1000</f>
        <v>17193.878062221331</v>
      </c>
      <c r="AC92" s="515">
        <f t="shared" si="178"/>
        <v>18984.185601946385</v>
      </c>
      <c r="AD92" s="193">
        <f t="shared" si="135"/>
        <v>10.4</v>
      </c>
      <c r="AE92" s="300">
        <f>AE91/AE90*1000</f>
        <v>15656.089594027066</v>
      </c>
      <c r="AF92" s="300">
        <f>AF91/AF90*1000</f>
        <v>17377.88705111012</v>
      </c>
      <c r="AG92" s="193">
        <f t="shared" si="136"/>
        <v>11</v>
      </c>
      <c r="AH92" s="515">
        <f t="shared" ref="AH92:AI92" si="179">AH91/AH90*1000</f>
        <v>16922.052212644863</v>
      </c>
      <c r="AI92" s="515">
        <f t="shared" si="179"/>
        <v>18621.568891280949</v>
      </c>
      <c r="AJ92" s="193">
        <f t="shared" si="138"/>
        <v>10</v>
      </c>
    </row>
    <row r="93" spans="1:36" s="167" customFormat="1" ht="22.5" customHeight="1">
      <c r="A93" s="778" t="s">
        <v>29</v>
      </c>
      <c r="B93" s="820" t="s">
        <v>26</v>
      </c>
      <c r="C93" s="822">
        <v>8001</v>
      </c>
      <c r="D93" s="165" t="s">
        <v>569</v>
      </c>
      <c r="E93" s="166">
        <v>15082</v>
      </c>
      <c r="F93" s="166">
        <v>13508</v>
      </c>
      <c r="G93" s="185">
        <v>14268</v>
      </c>
      <c r="H93" s="520">
        <v>12456</v>
      </c>
      <c r="I93" s="520">
        <v>13972</v>
      </c>
      <c r="J93" s="520">
        <v>1288</v>
      </c>
      <c r="K93" s="297">
        <v>933</v>
      </c>
      <c r="L93" s="190">
        <f t="shared" si="127"/>
        <v>-27.6</v>
      </c>
      <c r="M93" s="296">
        <f>P93-J93</f>
        <v>788</v>
      </c>
      <c r="N93" s="296">
        <f>Q93-K93</f>
        <v>903</v>
      </c>
      <c r="O93" s="189">
        <f t="shared" si="128"/>
        <v>14.6</v>
      </c>
      <c r="P93" s="520">
        <v>2076</v>
      </c>
      <c r="Q93" s="607">
        <v>1836</v>
      </c>
      <c r="R93" s="189">
        <f t="shared" si="129"/>
        <v>-11.6</v>
      </c>
      <c r="S93" s="296">
        <f>V93-P93</f>
        <v>1904</v>
      </c>
      <c r="T93" s="296">
        <f>W93-Q93</f>
        <v>1336</v>
      </c>
      <c r="U93" s="189">
        <f t="shared" si="130"/>
        <v>-29.8</v>
      </c>
      <c r="V93" s="520">
        <v>3980</v>
      </c>
      <c r="W93" s="520">
        <v>3172</v>
      </c>
      <c r="X93" s="189">
        <f t="shared" si="132"/>
        <v>-20.3</v>
      </c>
      <c r="Y93" s="296">
        <f>AB93-V93</f>
        <v>973</v>
      </c>
      <c r="Z93" s="296">
        <f>AC93-W93</f>
        <v>1916</v>
      </c>
      <c r="AA93" s="189">
        <f t="shared" si="133"/>
        <v>96.9</v>
      </c>
      <c r="AB93" s="607">
        <v>4953</v>
      </c>
      <c r="AC93" s="520">
        <v>5088</v>
      </c>
      <c r="AD93" s="189">
        <f t="shared" si="135"/>
        <v>2.7</v>
      </c>
      <c r="AE93" s="296">
        <f>AH93-AB93</f>
        <v>1318</v>
      </c>
      <c r="AF93" s="296">
        <f>AI93-AC93</f>
        <v>1187</v>
      </c>
      <c r="AG93" s="189">
        <f t="shared" si="136"/>
        <v>-9.9</v>
      </c>
      <c r="AH93" s="607">
        <v>6271</v>
      </c>
      <c r="AI93" s="520">
        <v>6275</v>
      </c>
      <c r="AJ93" s="189">
        <f t="shared" si="138"/>
        <v>0.1</v>
      </c>
    </row>
    <row r="94" spans="1:36" ht="22.5" customHeight="1">
      <c r="A94" s="819"/>
      <c r="B94" s="820"/>
      <c r="C94" s="822"/>
      <c r="D94" s="345" t="s">
        <v>8</v>
      </c>
      <c r="E94" s="5">
        <v>249510</v>
      </c>
      <c r="F94" s="5">
        <v>275061</v>
      </c>
      <c r="G94" s="174">
        <v>290959</v>
      </c>
      <c r="H94" s="401">
        <v>239271</v>
      </c>
      <c r="I94" s="606">
        <v>239267</v>
      </c>
      <c r="J94" s="606">
        <v>21937</v>
      </c>
      <c r="K94" s="294">
        <v>18216</v>
      </c>
      <c r="L94" s="187">
        <f t="shared" si="127"/>
        <v>-17</v>
      </c>
      <c r="M94" s="294">
        <f>P94-J94</f>
        <v>13470</v>
      </c>
      <c r="N94" s="294">
        <f>Q94-K94</f>
        <v>19350</v>
      </c>
      <c r="O94" s="187">
        <f t="shared" si="128"/>
        <v>43.7</v>
      </c>
      <c r="P94" s="606">
        <v>35407</v>
      </c>
      <c r="Q94" s="606">
        <v>37566</v>
      </c>
      <c r="R94" s="187">
        <f t="shared" si="129"/>
        <v>6.1</v>
      </c>
      <c r="S94" s="294">
        <f>V94-P94</f>
        <v>32457</v>
      </c>
      <c r="T94" s="294">
        <f>W94-Q94</f>
        <v>31818</v>
      </c>
      <c r="U94" s="187">
        <f t="shared" si="130"/>
        <v>-2</v>
      </c>
      <c r="V94" s="606">
        <v>67864</v>
      </c>
      <c r="W94" s="606">
        <v>69384</v>
      </c>
      <c r="X94" s="187">
        <f t="shared" si="132"/>
        <v>2.2000000000000002</v>
      </c>
      <c r="Y94" s="294">
        <f>AB94-V94</f>
        <v>15530</v>
      </c>
      <c r="Z94" s="294">
        <f>AC94-W94</f>
        <v>49943</v>
      </c>
      <c r="AA94" s="187">
        <f t="shared" si="133"/>
        <v>221.6</v>
      </c>
      <c r="AB94" s="606">
        <v>83394</v>
      </c>
      <c r="AC94" s="606">
        <v>119327</v>
      </c>
      <c r="AD94" s="187">
        <f t="shared" si="135"/>
        <v>43.1</v>
      </c>
      <c r="AE94" s="294">
        <f>AH94-AB94</f>
        <v>20748</v>
      </c>
      <c r="AF94" s="294">
        <f>AI94-AC94</f>
        <v>33636</v>
      </c>
      <c r="AG94" s="187">
        <f t="shared" si="136"/>
        <v>62.1</v>
      </c>
      <c r="AH94" s="606">
        <v>104142</v>
      </c>
      <c r="AI94" s="606">
        <v>152963</v>
      </c>
      <c r="AJ94" s="187">
        <f t="shared" si="138"/>
        <v>46.9</v>
      </c>
    </row>
    <row r="95" spans="1:36" ht="22.5" customHeight="1">
      <c r="A95" s="11"/>
      <c r="B95" s="820"/>
      <c r="C95" s="822"/>
      <c r="D95" s="347" t="s">
        <v>9</v>
      </c>
      <c r="E95" s="10">
        <f t="shared" ref="E95:G95" si="180">E94/E93*1000</f>
        <v>16543.56186182204</v>
      </c>
      <c r="F95" s="10">
        <f t="shared" si="180"/>
        <v>20362.822031388805</v>
      </c>
      <c r="G95" s="178">
        <f t="shared" si="180"/>
        <v>20392.416596579762</v>
      </c>
      <c r="H95" s="405">
        <f>H94/H93*1000</f>
        <v>19209.296724470136</v>
      </c>
      <c r="I95" s="514">
        <f>I94/I93*1000</f>
        <v>17124.749498997997</v>
      </c>
      <c r="J95" s="514">
        <f t="shared" ref="J95:K95" si="181">J94/J93*1000</f>
        <v>17031.832298136647</v>
      </c>
      <c r="K95" s="514">
        <f t="shared" si="181"/>
        <v>19524.115755627008</v>
      </c>
      <c r="L95" s="188">
        <f t="shared" si="127"/>
        <v>14.6</v>
      </c>
      <c r="M95" s="295">
        <f>M94/M93*1000</f>
        <v>17093.908629441627</v>
      </c>
      <c r="N95" s="295">
        <f>N94/N93*1000</f>
        <v>21428.571428571428</v>
      </c>
      <c r="O95" s="188">
        <f t="shared" si="128"/>
        <v>25.4</v>
      </c>
      <c r="P95" s="514">
        <f>P94/P93*1000</f>
        <v>17055.39499036609</v>
      </c>
      <c r="Q95" s="514">
        <f>Q94/Q93*1000</f>
        <v>20460.784313725489</v>
      </c>
      <c r="R95" s="188">
        <f t="shared" si="129"/>
        <v>20</v>
      </c>
      <c r="S95" s="295">
        <f>S94/S93*1000</f>
        <v>17046.743697478993</v>
      </c>
      <c r="T95" s="295">
        <f>T94/T93*1000</f>
        <v>23815.868263473054</v>
      </c>
      <c r="U95" s="188">
        <f t="shared" si="130"/>
        <v>39.700000000000003</v>
      </c>
      <c r="V95" s="514">
        <f>V94/V93*1000</f>
        <v>17051.256281407033</v>
      </c>
      <c r="W95" s="514">
        <f t="shared" ref="W95" si="182">W94/W93*1000</f>
        <v>21873.896595208069</v>
      </c>
      <c r="X95" s="188">
        <f t="shared" si="132"/>
        <v>28.3</v>
      </c>
      <c r="Y95" s="295">
        <f>Y94/Y93*1000</f>
        <v>15960.945529290853</v>
      </c>
      <c r="Z95" s="295">
        <f>Z94/Z93*1000</f>
        <v>26066.283924843425</v>
      </c>
      <c r="AA95" s="188">
        <f t="shared" si="133"/>
        <v>63.3</v>
      </c>
      <c r="AB95" s="514">
        <f>AB94/AB93*1000</f>
        <v>16837.068443367654</v>
      </c>
      <c r="AC95" s="514">
        <f t="shared" ref="AC95" si="183">AC94/AC93*1000</f>
        <v>23452.633647798742</v>
      </c>
      <c r="AD95" s="188">
        <f t="shared" si="135"/>
        <v>39.299999999999997</v>
      </c>
      <c r="AE95" s="295">
        <f>AE94/AE93*1000</f>
        <v>15742.033383915024</v>
      </c>
      <c r="AF95" s="295">
        <f>AF94/AF93*1000</f>
        <v>28336.983993260317</v>
      </c>
      <c r="AG95" s="188">
        <f t="shared" si="136"/>
        <v>80</v>
      </c>
      <c r="AH95" s="514">
        <f>AH94/AH93*1000</f>
        <v>16606.920746292457</v>
      </c>
      <c r="AI95" s="514">
        <f t="shared" ref="AI95" si="184">AI94/AI93*1000</f>
        <v>24376.573705179282</v>
      </c>
      <c r="AJ95" s="188">
        <f t="shared" si="138"/>
        <v>46.8</v>
      </c>
    </row>
    <row r="96" spans="1:36" ht="22.5" customHeight="1">
      <c r="A96" s="11"/>
      <c r="B96" s="820" t="s">
        <v>18</v>
      </c>
      <c r="C96" s="822"/>
      <c r="D96" s="694" t="s">
        <v>569</v>
      </c>
      <c r="E96" s="9">
        <f t="shared" ref="E96:H97" si="185">E99-E93</f>
        <v>1684</v>
      </c>
      <c r="F96" s="9">
        <f t="shared" si="185"/>
        <v>1806</v>
      </c>
      <c r="G96" s="177">
        <f t="shared" si="185"/>
        <v>1586</v>
      </c>
      <c r="H96" s="520">
        <f t="shared" si="185"/>
        <v>1627</v>
      </c>
      <c r="I96" s="607">
        <f>I99-I93</f>
        <v>879</v>
      </c>
      <c r="J96" s="607">
        <f t="shared" ref="J96:K96" si="186">J99-J93</f>
        <v>59</v>
      </c>
      <c r="K96" s="607">
        <f t="shared" si="186"/>
        <v>54</v>
      </c>
      <c r="L96" s="189">
        <f t="shared" si="127"/>
        <v>-8.5</v>
      </c>
      <c r="M96" s="296">
        <f>M99-M93</f>
        <v>66</v>
      </c>
      <c r="N96" s="296">
        <f>N99-N93</f>
        <v>95</v>
      </c>
      <c r="O96" s="189">
        <f t="shared" si="128"/>
        <v>43.9</v>
      </c>
      <c r="P96" s="607">
        <f>P99-P93</f>
        <v>125</v>
      </c>
      <c r="Q96" s="607">
        <f>Q99-Q93</f>
        <v>149</v>
      </c>
      <c r="R96" s="189">
        <f t="shared" si="129"/>
        <v>19.2</v>
      </c>
      <c r="S96" s="296">
        <f>S99-S93</f>
        <v>71</v>
      </c>
      <c r="T96" s="296">
        <f>T99-T93</f>
        <v>57</v>
      </c>
      <c r="U96" s="189">
        <f t="shared" si="130"/>
        <v>-19.7</v>
      </c>
      <c r="V96" s="607">
        <f>V99-V93</f>
        <v>196</v>
      </c>
      <c r="W96" s="607">
        <f>W99-W93</f>
        <v>206</v>
      </c>
      <c r="X96" s="189">
        <f t="shared" si="132"/>
        <v>5.0999999999999996</v>
      </c>
      <c r="Y96" s="296">
        <f>Y99-Y93</f>
        <v>73</v>
      </c>
      <c r="Z96" s="296">
        <f>Z99-Z93</f>
        <v>80</v>
      </c>
      <c r="AA96" s="189">
        <f t="shared" si="133"/>
        <v>9.6</v>
      </c>
      <c r="AB96" s="607">
        <f>AB99-AB93</f>
        <v>269</v>
      </c>
      <c r="AC96" s="607">
        <f>AC99-AC93</f>
        <v>286</v>
      </c>
      <c r="AD96" s="189">
        <f t="shared" si="135"/>
        <v>6.3</v>
      </c>
      <c r="AE96" s="296">
        <f>AE99-AE93</f>
        <v>62</v>
      </c>
      <c r="AF96" s="296">
        <f>AF99-AF93</f>
        <v>55</v>
      </c>
      <c r="AG96" s="189">
        <f t="shared" si="136"/>
        <v>-11.3</v>
      </c>
      <c r="AH96" s="607">
        <f>AH99-AH93</f>
        <v>331</v>
      </c>
      <c r="AI96" s="607">
        <f>AI99-AI93</f>
        <v>341</v>
      </c>
      <c r="AJ96" s="189">
        <f t="shared" si="138"/>
        <v>3</v>
      </c>
    </row>
    <row r="97" spans="1:36" ht="22.5" customHeight="1">
      <c r="A97" s="11"/>
      <c r="B97" s="820"/>
      <c r="C97" s="822"/>
      <c r="D97" s="345" t="s">
        <v>8</v>
      </c>
      <c r="E97" s="5">
        <f t="shared" si="185"/>
        <v>27141</v>
      </c>
      <c r="F97" s="5">
        <f t="shared" si="185"/>
        <v>32105</v>
      </c>
      <c r="G97" s="174">
        <f t="shared" si="185"/>
        <v>37337</v>
      </c>
      <c r="H97" s="401">
        <f t="shared" si="185"/>
        <v>39206</v>
      </c>
      <c r="I97" s="606">
        <f>I100-I94</f>
        <v>29224</v>
      </c>
      <c r="J97" s="606">
        <f t="shared" ref="J97:K97" si="187">J100-J94</f>
        <v>2120</v>
      </c>
      <c r="K97" s="606">
        <f t="shared" si="187"/>
        <v>2470</v>
      </c>
      <c r="L97" s="187">
        <f t="shared" si="127"/>
        <v>16.5</v>
      </c>
      <c r="M97" s="294">
        <f>M100-M94</f>
        <v>2567</v>
      </c>
      <c r="N97" s="294">
        <f>N100-N94</f>
        <v>4709</v>
      </c>
      <c r="O97" s="187">
        <f t="shared" si="128"/>
        <v>83.4</v>
      </c>
      <c r="P97" s="606">
        <f>P100-P94</f>
        <v>4687</v>
      </c>
      <c r="Q97" s="606">
        <f>Q100-Q94</f>
        <v>7179</v>
      </c>
      <c r="R97" s="187">
        <f t="shared" si="129"/>
        <v>53.2</v>
      </c>
      <c r="S97" s="294">
        <f>S100-S94</f>
        <v>2216</v>
      </c>
      <c r="T97" s="294">
        <f>T100-T94</f>
        <v>1916</v>
      </c>
      <c r="U97" s="187">
        <f t="shared" si="130"/>
        <v>-13.5</v>
      </c>
      <c r="V97" s="606">
        <f>V100-V94</f>
        <v>6903</v>
      </c>
      <c r="W97" s="606">
        <f>W100-W94</f>
        <v>9095</v>
      </c>
      <c r="X97" s="187">
        <f t="shared" si="132"/>
        <v>31.8</v>
      </c>
      <c r="Y97" s="294">
        <f>Y100-Y94</f>
        <v>2200</v>
      </c>
      <c r="Z97" s="294">
        <f>Z100-Z94</f>
        <v>3569</v>
      </c>
      <c r="AA97" s="187">
        <f t="shared" si="133"/>
        <v>62.2</v>
      </c>
      <c r="AB97" s="606">
        <f>AB100-AB94</f>
        <v>9103</v>
      </c>
      <c r="AC97" s="606">
        <f>AC100-AC94</f>
        <v>12664</v>
      </c>
      <c r="AD97" s="187">
        <f t="shared" si="135"/>
        <v>39.1</v>
      </c>
      <c r="AE97" s="294">
        <f>AE100-AE94</f>
        <v>1725</v>
      </c>
      <c r="AF97" s="294">
        <f>AF100-AF94</f>
        <v>2018</v>
      </c>
      <c r="AG97" s="187">
        <f t="shared" si="136"/>
        <v>17</v>
      </c>
      <c r="AH97" s="606">
        <f>AH100-AH94</f>
        <v>10828</v>
      </c>
      <c r="AI97" s="606">
        <f>AI100-AI94</f>
        <v>14682</v>
      </c>
      <c r="AJ97" s="187">
        <f t="shared" si="138"/>
        <v>35.6</v>
      </c>
    </row>
    <row r="98" spans="1:36" ht="22.5" customHeight="1">
      <c r="A98" s="11"/>
      <c r="B98" s="820"/>
      <c r="C98" s="822"/>
      <c r="D98" s="347" t="s">
        <v>9</v>
      </c>
      <c r="E98" s="10">
        <f t="shared" ref="E98:G98" si="188">E97/E96*1000</f>
        <v>16116.983372921617</v>
      </c>
      <c r="F98" s="10">
        <f t="shared" si="188"/>
        <v>17776.854928017721</v>
      </c>
      <c r="G98" s="178">
        <f t="shared" si="188"/>
        <v>23541.614123581337</v>
      </c>
      <c r="H98" s="405">
        <f>H97/H96*1000</f>
        <v>24097.111247695146</v>
      </c>
      <c r="I98" s="514">
        <f>I97/I96*1000</f>
        <v>33246.871444823664</v>
      </c>
      <c r="J98" s="514">
        <f t="shared" ref="J98:K98" si="189">J97/J96*1000</f>
        <v>35932.203389830502</v>
      </c>
      <c r="K98" s="514">
        <f t="shared" si="189"/>
        <v>45740.740740740737</v>
      </c>
      <c r="L98" s="188">
        <f t="shared" si="127"/>
        <v>27.3</v>
      </c>
      <c r="M98" s="295">
        <f>M97/M96*1000</f>
        <v>38893.939393939392</v>
      </c>
      <c r="N98" s="295">
        <f>N97/N96*1000</f>
        <v>49568.42105263158</v>
      </c>
      <c r="O98" s="188">
        <f t="shared" si="128"/>
        <v>27.4</v>
      </c>
      <c r="P98" s="514">
        <f>P97/P96*1000</f>
        <v>37496</v>
      </c>
      <c r="Q98" s="514">
        <f>Q97/Q96*1000</f>
        <v>48181.208053691269</v>
      </c>
      <c r="R98" s="188">
        <f t="shared" si="129"/>
        <v>28.5</v>
      </c>
      <c r="S98" s="295">
        <f>S97/S96*1000</f>
        <v>31211.267605633802</v>
      </c>
      <c r="T98" s="295">
        <f>T97/T96*1000</f>
        <v>33614.035087719305</v>
      </c>
      <c r="U98" s="188">
        <f t="shared" si="130"/>
        <v>7.7</v>
      </c>
      <c r="V98" s="514">
        <f>V97/V96*1000</f>
        <v>35219.387755102041</v>
      </c>
      <c r="W98" s="514">
        <f t="shared" ref="W98" si="190">W97/W96*1000</f>
        <v>44150.485436893206</v>
      </c>
      <c r="X98" s="188">
        <f t="shared" si="132"/>
        <v>25.4</v>
      </c>
      <c r="Y98" s="295">
        <f>Y97/Y96*1000</f>
        <v>30136.986301369863</v>
      </c>
      <c r="Z98" s="295">
        <f>Z97/Z96*1000</f>
        <v>44612.5</v>
      </c>
      <c r="AA98" s="188">
        <f t="shared" si="133"/>
        <v>48</v>
      </c>
      <c r="AB98" s="514">
        <f>AB97/AB96*1000</f>
        <v>33840.148698884761</v>
      </c>
      <c r="AC98" s="514">
        <f t="shared" ref="AC98" si="191">AC97/AC96*1000</f>
        <v>44279.720279720277</v>
      </c>
      <c r="AD98" s="188">
        <f t="shared" si="135"/>
        <v>30.8</v>
      </c>
      <c r="AE98" s="295">
        <f>AE97/AE96*1000</f>
        <v>27822.580645161292</v>
      </c>
      <c r="AF98" s="295">
        <f>AF97/AF96*1000</f>
        <v>36690.909090909088</v>
      </c>
      <c r="AG98" s="188">
        <f t="shared" si="136"/>
        <v>31.9</v>
      </c>
      <c r="AH98" s="514">
        <f>AH97/AH96*1000</f>
        <v>32712.990936555889</v>
      </c>
      <c r="AI98" s="514">
        <f t="shared" ref="AI98" si="192">AI97/AI96*1000</f>
        <v>43055.718475073314</v>
      </c>
      <c r="AJ98" s="188">
        <f t="shared" si="138"/>
        <v>31.6</v>
      </c>
    </row>
    <row r="99" spans="1:36" ht="22.5" customHeight="1">
      <c r="A99" s="11"/>
      <c r="B99" s="824" t="s">
        <v>19</v>
      </c>
      <c r="C99" s="825"/>
      <c r="D99" s="12" t="s">
        <v>569</v>
      </c>
      <c r="E99" s="13">
        <v>16766</v>
      </c>
      <c r="F99" s="13">
        <v>15314</v>
      </c>
      <c r="G99" s="179">
        <v>15854</v>
      </c>
      <c r="H99" s="406">
        <v>14083</v>
      </c>
      <c r="I99" s="521">
        <v>14851</v>
      </c>
      <c r="J99" s="521">
        <v>1347</v>
      </c>
      <c r="K99" s="298">
        <v>987</v>
      </c>
      <c r="L99" s="191">
        <f t="shared" si="127"/>
        <v>-26.7</v>
      </c>
      <c r="M99" s="298">
        <f>P99-J99</f>
        <v>854</v>
      </c>
      <c r="N99" s="298">
        <f>Q99-K99</f>
        <v>998</v>
      </c>
      <c r="O99" s="191">
        <f t="shared" si="128"/>
        <v>16.899999999999999</v>
      </c>
      <c r="P99" s="521">
        <v>2201</v>
      </c>
      <c r="Q99" s="521">
        <v>1985</v>
      </c>
      <c r="R99" s="191">
        <f t="shared" si="129"/>
        <v>-9.8000000000000007</v>
      </c>
      <c r="S99" s="298">
        <f>V99-P99</f>
        <v>1975</v>
      </c>
      <c r="T99" s="298">
        <f>W99-Q99</f>
        <v>1393</v>
      </c>
      <c r="U99" s="191">
        <f t="shared" si="130"/>
        <v>-29.5</v>
      </c>
      <c r="V99" s="521">
        <v>4176</v>
      </c>
      <c r="W99" s="521">
        <v>3378</v>
      </c>
      <c r="X99" s="191">
        <f t="shared" si="132"/>
        <v>-19.100000000000001</v>
      </c>
      <c r="Y99" s="298">
        <f>AB99-V99</f>
        <v>1046</v>
      </c>
      <c r="Z99" s="298">
        <f>AC99-W99</f>
        <v>1996</v>
      </c>
      <c r="AA99" s="191">
        <f t="shared" si="133"/>
        <v>90.8</v>
      </c>
      <c r="AB99" s="521">
        <v>5222</v>
      </c>
      <c r="AC99" s="521">
        <v>5374</v>
      </c>
      <c r="AD99" s="191">
        <f t="shared" si="135"/>
        <v>2.9</v>
      </c>
      <c r="AE99" s="298">
        <f>AH99-AB99</f>
        <v>1380</v>
      </c>
      <c r="AF99" s="298">
        <f>AI99-AC99</f>
        <v>1242</v>
      </c>
      <c r="AG99" s="191">
        <f t="shared" si="136"/>
        <v>-10</v>
      </c>
      <c r="AH99" s="521">
        <v>6602</v>
      </c>
      <c r="AI99" s="521">
        <v>6616</v>
      </c>
      <c r="AJ99" s="191">
        <f t="shared" si="138"/>
        <v>0.2</v>
      </c>
    </row>
    <row r="100" spans="1:36" ht="22.5" customHeight="1">
      <c r="A100" s="11"/>
      <c r="B100" s="824"/>
      <c r="C100" s="825"/>
      <c r="D100" s="346" t="s">
        <v>298</v>
      </c>
      <c r="E100" s="15">
        <v>276651</v>
      </c>
      <c r="F100" s="15">
        <v>307166</v>
      </c>
      <c r="G100" s="180">
        <v>328296</v>
      </c>
      <c r="H100" s="407">
        <v>278477</v>
      </c>
      <c r="I100" s="522">
        <v>268491</v>
      </c>
      <c r="J100" s="522">
        <v>24057</v>
      </c>
      <c r="K100" s="299">
        <v>20686</v>
      </c>
      <c r="L100" s="192">
        <f t="shared" si="127"/>
        <v>-14</v>
      </c>
      <c r="M100" s="299">
        <f>P100-J100</f>
        <v>16037</v>
      </c>
      <c r="N100" s="299">
        <f>Q100-K100</f>
        <v>24059</v>
      </c>
      <c r="O100" s="192">
        <f t="shared" si="128"/>
        <v>50</v>
      </c>
      <c r="P100" s="522">
        <v>40094</v>
      </c>
      <c r="Q100" s="522">
        <v>44745</v>
      </c>
      <c r="R100" s="192">
        <f t="shared" si="129"/>
        <v>11.6</v>
      </c>
      <c r="S100" s="299">
        <f>V100-P100</f>
        <v>34673</v>
      </c>
      <c r="T100" s="299">
        <f>W100-Q100</f>
        <v>33734</v>
      </c>
      <c r="U100" s="192">
        <f t="shared" si="130"/>
        <v>-2.7</v>
      </c>
      <c r="V100" s="522">
        <v>74767</v>
      </c>
      <c r="W100" s="522">
        <v>78479</v>
      </c>
      <c r="X100" s="192">
        <f t="shared" si="132"/>
        <v>5</v>
      </c>
      <c r="Y100" s="299">
        <f>AB100-V100</f>
        <v>17730</v>
      </c>
      <c r="Z100" s="299">
        <f>AC100-W100</f>
        <v>53512</v>
      </c>
      <c r="AA100" s="192">
        <f t="shared" si="133"/>
        <v>201.8</v>
      </c>
      <c r="AB100" s="522">
        <v>92497</v>
      </c>
      <c r="AC100" s="522">
        <v>131991</v>
      </c>
      <c r="AD100" s="192">
        <f t="shared" si="135"/>
        <v>42.7</v>
      </c>
      <c r="AE100" s="299">
        <f>AH100-AB100</f>
        <v>22473</v>
      </c>
      <c r="AF100" s="299">
        <f>AI100-AC100</f>
        <v>35654</v>
      </c>
      <c r="AG100" s="192">
        <f t="shared" si="136"/>
        <v>58.7</v>
      </c>
      <c r="AH100" s="522">
        <v>114970</v>
      </c>
      <c r="AI100" s="522">
        <v>167645</v>
      </c>
      <c r="AJ100" s="192">
        <f t="shared" si="138"/>
        <v>45.8</v>
      </c>
    </row>
    <row r="101" spans="1:36" ht="22.5" customHeight="1">
      <c r="A101" s="11"/>
      <c r="B101" s="824"/>
      <c r="C101" s="825"/>
      <c r="D101" s="348" t="s">
        <v>299</v>
      </c>
      <c r="E101" s="17">
        <f t="shared" ref="E101:G101" si="193">E100/E99*1000</f>
        <v>16500.715734224024</v>
      </c>
      <c r="F101" s="17">
        <f t="shared" si="193"/>
        <v>20057.85555700666</v>
      </c>
      <c r="G101" s="181">
        <f t="shared" si="193"/>
        <v>20707.45553172701</v>
      </c>
      <c r="H101" s="408">
        <f>H100/H99*1000</f>
        <v>19773.98281616133</v>
      </c>
      <c r="I101" s="515">
        <f>I100/I99*1000</f>
        <v>18078.984580162953</v>
      </c>
      <c r="J101" s="515">
        <f t="shared" ref="J101:K101" si="194">J100/J99*1000</f>
        <v>17859.68819599109</v>
      </c>
      <c r="K101" s="515">
        <f t="shared" si="194"/>
        <v>20958.459979736574</v>
      </c>
      <c r="L101" s="193">
        <f t="shared" si="127"/>
        <v>17.399999999999999</v>
      </c>
      <c r="M101" s="300">
        <f>M100/M99*1000</f>
        <v>18778.688524590161</v>
      </c>
      <c r="N101" s="300">
        <f>N100/N99*1000</f>
        <v>24107.214428857715</v>
      </c>
      <c r="O101" s="193">
        <f t="shared" si="128"/>
        <v>28.4</v>
      </c>
      <c r="P101" s="515">
        <f>P100/P99*1000</f>
        <v>18216.265333939118</v>
      </c>
      <c r="Q101" s="515">
        <f>Q100/Q99*1000</f>
        <v>22541.561712846349</v>
      </c>
      <c r="R101" s="193">
        <f t="shared" si="129"/>
        <v>23.7</v>
      </c>
      <c r="S101" s="300">
        <f>S100/S99*1000</f>
        <v>17555.949367088608</v>
      </c>
      <c r="T101" s="300">
        <f>T100/T99*1000</f>
        <v>24216.798277099784</v>
      </c>
      <c r="U101" s="193">
        <f t="shared" si="130"/>
        <v>37.9</v>
      </c>
      <c r="V101" s="515">
        <f>V100/V99*1000</f>
        <v>17903.975095785441</v>
      </c>
      <c r="W101" s="515">
        <f t="shared" ref="W101" si="195">W100/W99*1000</f>
        <v>23232.38602723505</v>
      </c>
      <c r="X101" s="193">
        <f t="shared" si="132"/>
        <v>29.8</v>
      </c>
      <c r="Y101" s="300">
        <f>Y100/Y99*1000</f>
        <v>16950.286806883367</v>
      </c>
      <c r="Z101" s="300">
        <f>Z100/Z99*1000</f>
        <v>26809.619238476957</v>
      </c>
      <c r="AA101" s="193">
        <f t="shared" si="133"/>
        <v>58.2</v>
      </c>
      <c r="AB101" s="515">
        <f t="shared" ref="AB101:AC101" si="196">AB100/AB99*1000</f>
        <v>17712.945231711987</v>
      </c>
      <c r="AC101" s="515">
        <f t="shared" si="196"/>
        <v>24561.034611090436</v>
      </c>
      <c r="AD101" s="193">
        <f t="shared" si="135"/>
        <v>38.700000000000003</v>
      </c>
      <c r="AE101" s="300">
        <f>AE100/AE99*1000</f>
        <v>16284.782608695654</v>
      </c>
      <c r="AF101" s="300">
        <f>AF100/AF99*1000</f>
        <v>28706.92431561997</v>
      </c>
      <c r="AG101" s="193">
        <f t="shared" si="136"/>
        <v>76.3</v>
      </c>
      <c r="AH101" s="515">
        <f t="shared" ref="AH101:AI101" si="197">AH100/AH99*1000</f>
        <v>17414.419872765829</v>
      </c>
      <c r="AI101" s="515">
        <f t="shared" si="197"/>
        <v>25339.328899637243</v>
      </c>
      <c r="AJ101" s="193">
        <f t="shared" si="138"/>
        <v>45.5</v>
      </c>
    </row>
    <row r="102" spans="1:36" ht="22.5" customHeight="1">
      <c r="A102" s="778" t="s">
        <v>30</v>
      </c>
      <c r="B102" s="828"/>
      <c r="C102" s="822">
        <v>81</v>
      </c>
      <c r="D102" s="694" t="s">
        <v>569</v>
      </c>
      <c r="E102" s="9">
        <v>140737</v>
      </c>
      <c r="F102" s="9">
        <v>157963</v>
      </c>
      <c r="G102" s="177">
        <v>156574</v>
      </c>
      <c r="H102" s="520">
        <v>153450</v>
      </c>
      <c r="I102" s="607">
        <v>144040</v>
      </c>
      <c r="J102" s="607">
        <v>14260</v>
      </c>
      <c r="K102" s="296">
        <v>13512</v>
      </c>
      <c r="L102" s="189">
        <f t="shared" si="127"/>
        <v>-5.2</v>
      </c>
      <c r="M102" s="296">
        <f>P102-J102</f>
        <v>7723</v>
      </c>
      <c r="N102" s="296">
        <f>Q102-K102</f>
        <v>12639</v>
      </c>
      <c r="O102" s="189">
        <f t="shared" si="128"/>
        <v>63.7</v>
      </c>
      <c r="P102" s="607">
        <v>21983</v>
      </c>
      <c r="Q102" s="607">
        <v>26151</v>
      </c>
      <c r="R102" s="189">
        <f t="shared" si="129"/>
        <v>19</v>
      </c>
      <c r="S102" s="296">
        <f>V102-P102</f>
        <v>14459</v>
      </c>
      <c r="T102" s="296">
        <f>W102-Q102</f>
        <v>15472</v>
      </c>
      <c r="U102" s="189">
        <f t="shared" si="130"/>
        <v>7</v>
      </c>
      <c r="V102" s="607">
        <v>36442</v>
      </c>
      <c r="W102" s="607">
        <v>41623</v>
      </c>
      <c r="X102" s="189">
        <f t="shared" si="132"/>
        <v>14.2</v>
      </c>
      <c r="Y102" s="296">
        <f>AB102-V102</f>
        <v>13235</v>
      </c>
      <c r="Z102" s="296">
        <f>AC102-W102</f>
        <v>12137</v>
      </c>
      <c r="AA102" s="189">
        <f t="shared" si="133"/>
        <v>-8.3000000000000007</v>
      </c>
      <c r="AB102" s="607">
        <v>49677</v>
      </c>
      <c r="AC102" s="607">
        <v>53760</v>
      </c>
      <c r="AD102" s="189">
        <f t="shared" si="135"/>
        <v>8.1999999999999993</v>
      </c>
      <c r="AE102" s="296">
        <f>AH102-AB102</f>
        <v>13672</v>
      </c>
      <c r="AF102" s="296">
        <f>AI102-AC102</f>
        <v>13664</v>
      </c>
      <c r="AG102" s="189">
        <f t="shared" si="136"/>
        <v>-0.1</v>
      </c>
      <c r="AH102" s="607">
        <v>63349</v>
      </c>
      <c r="AI102" s="607">
        <v>67424</v>
      </c>
      <c r="AJ102" s="189">
        <f t="shared" si="138"/>
        <v>6.4</v>
      </c>
    </row>
    <row r="103" spans="1:36" ht="22.5" customHeight="1">
      <c r="A103" s="819"/>
      <c r="B103" s="828"/>
      <c r="C103" s="822"/>
      <c r="D103" s="345" t="s">
        <v>31</v>
      </c>
      <c r="E103" s="5">
        <v>942708</v>
      </c>
      <c r="F103" s="5">
        <v>1090604</v>
      </c>
      <c r="G103" s="174">
        <v>1259894</v>
      </c>
      <c r="H103" s="401">
        <v>1083201</v>
      </c>
      <c r="I103" s="606">
        <v>937692</v>
      </c>
      <c r="J103" s="606">
        <v>85090</v>
      </c>
      <c r="K103" s="294">
        <v>77568</v>
      </c>
      <c r="L103" s="187">
        <f t="shared" si="127"/>
        <v>-8.8000000000000007</v>
      </c>
      <c r="M103" s="294">
        <f>P103-J103</f>
        <v>64025</v>
      </c>
      <c r="N103" s="294">
        <f>Q103-K103</f>
        <v>84592</v>
      </c>
      <c r="O103" s="187">
        <f t="shared" si="128"/>
        <v>32.1</v>
      </c>
      <c r="P103" s="606">
        <v>149115</v>
      </c>
      <c r="Q103" s="606">
        <v>162160</v>
      </c>
      <c r="R103" s="187">
        <f t="shared" si="129"/>
        <v>8.6999999999999993</v>
      </c>
      <c r="S103" s="294">
        <f>V103-P103</f>
        <v>95127</v>
      </c>
      <c r="T103" s="294">
        <f>W103-Q103</f>
        <v>116587</v>
      </c>
      <c r="U103" s="187">
        <f t="shared" si="130"/>
        <v>22.6</v>
      </c>
      <c r="V103" s="606">
        <v>244242</v>
      </c>
      <c r="W103" s="606">
        <v>278747</v>
      </c>
      <c r="X103" s="187">
        <f t="shared" si="132"/>
        <v>14.1</v>
      </c>
      <c r="Y103" s="294">
        <f>AB103-V103</f>
        <v>94409</v>
      </c>
      <c r="Z103" s="294">
        <f>AC103-W103</f>
        <v>107668</v>
      </c>
      <c r="AA103" s="187">
        <f t="shared" si="133"/>
        <v>14</v>
      </c>
      <c r="AB103" s="606">
        <v>338651</v>
      </c>
      <c r="AC103" s="606">
        <v>386415</v>
      </c>
      <c r="AD103" s="187">
        <f t="shared" si="135"/>
        <v>14.1</v>
      </c>
      <c r="AE103" s="294">
        <f>AH103-AB103</f>
        <v>76448</v>
      </c>
      <c r="AF103" s="294">
        <f>AI103-AC103</f>
        <v>105136</v>
      </c>
      <c r="AG103" s="187">
        <f t="shared" si="136"/>
        <v>37.5</v>
      </c>
      <c r="AH103" s="606">
        <v>415099</v>
      </c>
      <c r="AI103" s="606">
        <v>491551</v>
      </c>
      <c r="AJ103" s="187">
        <f t="shared" si="138"/>
        <v>18.399999999999999</v>
      </c>
    </row>
    <row r="104" spans="1:36" ht="22.5" customHeight="1">
      <c r="A104" s="827"/>
      <c r="B104" s="828"/>
      <c r="C104" s="822"/>
      <c r="D104" s="347" t="s">
        <v>9</v>
      </c>
      <c r="E104" s="10">
        <f t="shared" ref="E104:G104" si="198">E103/E102*1000</f>
        <v>6698.3664565821355</v>
      </c>
      <c r="F104" s="10">
        <f t="shared" si="198"/>
        <v>6904.1737622101382</v>
      </c>
      <c r="G104" s="178">
        <f t="shared" si="198"/>
        <v>8046.6360953925951</v>
      </c>
      <c r="H104" s="405">
        <f>H103/H102*1000</f>
        <v>7058.9833822091887</v>
      </c>
      <c r="I104" s="514">
        <f>I103/I102*1000</f>
        <v>6509.9416828658714</v>
      </c>
      <c r="J104" s="514">
        <f t="shared" ref="J104:K104" si="199">J103/J102*1000</f>
        <v>5967.0406732117817</v>
      </c>
      <c r="K104" s="514">
        <f t="shared" si="199"/>
        <v>5740.6749555950264</v>
      </c>
      <c r="L104" s="188">
        <f t="shared" si="127"/>
        <v>-3.8</v>
      </c>
      <c r="M104" s="295">
        <f>M103/M102*1000</f>
        <v>8290.172212870646</v>
      </c>
      <c r="N104" s="295">
        <f>N103/N102*1000</f>
        <v>6692.9345676081966</v>
      </c>
      <c r="O104" s="188">
        <f t="shared" si="128"/>
        <v>-19.3</v>
      </c>
      <c r="P104" s="514">
        <f>P103/P102*1000</f>
        <v>6783.1961060819731</v>
      </c>
      <c r="Q104" s="514">
        <f>Q103/Q102*1000</f>
        <v>6200.9100990401894</v>
      </c>
      <c r="R104" s="188">
        <f t="shared" si="129"/>
        <v>-8.6</v>
      </c>
      <c r="S104" s="295">
        <f>S103/S102*1000</f>
        <v>6579.0856905733453</v>
      </c>
      <c r="T104" s="295">
        <f>T103/T102*1000</f>
        <v>7535.3541882109612</v>
      </c>
      <c r="U104" s="188">
        <f t="shared" si="130"/>
        <v>14.5</v>
      </c>
      <c r="V104" s="514">
        <f>V103/V102*1000</f>
        <v>6702.2117337138461</v>
      </c>
      <c r="W104" s="514">
        <f t="shared" ref="W104" si="200">W103/W102*1000</f>
        <v>6696.9463998270194</v>
      </c>
      <c r="X104" s="188">
        <f t="shared" si="132"/>
        <v>-0.1</v>
      </c>
      <c r="Y104" s="295">
        <f>Y103/Y102*1000</f>
        <v>7133.2829618435962</v>
      </c>
      <c r="Z104" s="295">
        <f>Z103/Z102*1000</f>
        <v>8871.0554502760151</v>
      </c>
      <c r="AA104" s="188">
        <f t="shared" si="133"/>
        <v>24.4</v>
      </c>
      <c r="AB104" s="514">
        <f>AB103/AB102*1000</f>
        <v>6817.0581959458104</v>
      </c>
      <c r="AC104" s="514">
        <f t="shared" ref="AC104" si="201">AC103/AC102*1000</f>
        <v>7187.7790178571431</v>
      </c>
      <c r="AD104" s="188">
        <f t="shared" si="135"/>
        <v>5.4</v>
      </c>
      <c r="AE104" s="295">
        <f>AE103/AE102*1000</f>
        <v>5591.5740198946751</v>
      </c>
      <c r="AF104" s="295">
        <f>AF103/AF102*1000</f>
        <v>7694.3793911007024</v>
      </c>
      <c r="AG104" s="188">
        <f t="shared" si="136"/>
        <v>37.6</v>
      </c>
      <c r="AH104" s="514">
        <f>AH103/AH102*1000</f>
        <v>6552.5738369982164</v>
      </c>
      <c r="AI104" s="514">
        <f t="shared" ref="AI104" si="202">AI103/AI102*1000</f>
        <v>7290.4455386805885</v>
      </c>
      <c r="AJ104" s="188">
        <f t="shared" si="138"/>
        <v>11.3</v>
      </c>
    </row>
    <row r="105" spans="1:36" ht="22.5" customHeight="1">
      <c r="A105" s="826" t="s">
        <v>32</v>
      </c>
      <c r="B105" s="739"/>
      <c r="C105" s="739"/>
      <c r="D105" s="12" t="s">
        <v>569</v>
      </c>
      <c r="E105" s="13">
        <f t="shared" ref="E105:K106" si="203">SUM(E33+E63+E72+E81+E90+E99+E102)</f>
        <v>4141454</v>
      </c>
      <c r="F105" s="13">
        <f t="shared" si="203"/>
        <v>4225765</v>
      </c>
      <c r="G105" s="179">
        <f t="shared" si="203"/>
        <v>4151220</v>
      </c>
      <c r="H105" s="406">
        <f>SUM(H33+H63+H72+H81+H90+H99+H102)</f>
        <v>4229304</v>
      </c>
      <c r="I105" s="521">
        <f>SUM(I33+I63+I72+I81+I90+I99+I102)</f>
        <v>4084154</v>
      </c>
      <c r="J105" s="298">
        <f t="shared" si="203"/>
        <v>353407</v>
      </c>
      <c r="K105" s="298">
        <f t="shared" si="203"/>
        <v>364779</v>
      </c>
      <c r="L105" s="191">
        <f t="shared" si="127"/>
        <v>3.2</v>
      </c>
      <c r="M105" s="298">
        <f>SUM(M33+M63+M72+M81+M90+M99+M102)</f>
        <v>310727</v>
      </c>
      <c r="N105" s="298">
        <f>SUM(N33+N63+N72+N81+N90+N99+N102)</f>
        <v>333880</v>
      </c>
      <c r="O105" s="191">
        <f t="shared" si="128"/>
        <v>7.5</v>
      </c>
      <c r="P105" s="298">
        <f>SUM(P33+P63+P72+P81+P90+P99+P102)</f>
        <v>664134</v>
      </c>
      <c r="Q105" s="521">
        <f>SUM(Q33+Q63+Q72+Q81+Q90+Q99+Q102)</f>
        <v>698659</v>
      </c>
      <c r="R105" s="191">
        <f t="shared" si="129"/>
        <v>5.2</v>
      </c>
      <c r="S105" s="298">
        <f>SUM(S33+S63+S72+S81+S90+S99+S102)</f>
        <v>362097</v>
      </c>
      <c r="T105" s="298">
        <f>SUM(T33+T63+T72+T81+T90+T99+T102)</f>
        <v>431821</v>
      </c>
      <c r="U105" s="191">
        <f t="shared" si="130"/>
        <v>19.3</v>
      </c>
      <c r="V105" s="298">
        <f>SUM(V33+V63+V72+V81+V90+V99+V102)</f>
        <v>1026231</v>
      </c>
      <c r="W105" s="521">
        <f>SUM(W33+W63+W72+W81+W90+W99+W102)</f>
        <v>1130480</v>
      </c>
      <c r="X105" s="191">
        <f t="shared" si="132"/>
        <v>10.199999999999999</v>
      </c>
      <c r="Y105" s="298">
        <f>SUM(Y33+Y63+Y72+Y81+Y90+Y99+Y102)</f>
        <v>356413</v>
      </c>
      <c r="Z105" s="298">
        <f>SUM(Z33+Z63+Z72+Z81+Z90+Z99+Z102)</f>
        <v>409303</v>
      </c>
      <c r="AA105" s="191">
        <f t="shared" si="133"/>
        <v>14.8</v>
      </c>
      <c r="AB105" s="521">
        <f>SUM(AB33+AB63+AB72+AB81+AB90+AB99+AB102)</f>
        <v>1382644</v>
      </c>
      <c r="AC105" s="521">
        <f>SUM(AC33+AC63+AC72+AC81+AC90+AC99+AC102)</f>
        <v>1539783</v>
      </c>
      <c r="AD105" s="191">
        <f t="shared" si="135"/>
        <v>11.4</v>
      </c>
      <c r="AE105" s="298">
        <f>SUM(AE33+AE63+AE72+AE81+AE90+AE99+AE102)</f>
        <v>322717</v>
      </c>
      <c r="AF105" s="298">
        <f>SUM(AF33+AF63+AF72+AF81+AF90+AF99+AF102)</f>
        <v>365534</v>
      </c>
      <c r="AG105" s="191">
        <f t="shared" si="136"/>
        <v>13.3</v>
      </c>
      <c r="AH105" s="521">
        <f>SUM(AH33+AH63+AH72+AH81+AH90+AH99+AH102)</f>
        <v>1705361</v>
      </c>
      <c r="AI105" s="521">
        <f>SUM(AI33+AI63+AI72+AI81+AI90+AI99+AI102)</f>
        <v>1905317</v>
      </c>
      <c r="AJ105" s="191">
        <f t="shared" si="138"/>
        <v>11.7</v>
      </c>
    </row>
    <row r="106" spans="1:36" ht="22.5" customHeight="1">
      <c r="A106" s="739"/>
      <c r="B106" s="739"/>
      <c r="C106" s="739"/>
      <c r="D106" s="346" t="s">
        <v>8</v>
      </c>
      <c r="E106" s="15">
        <f t="shared" si="203"/>
        <v>12930854</v>
      </c>
      <c r="F106" s="15">
        <f t="shared" si="203"/>
        <v>14915336</v>
      </c>
      <c r="G106" s="180">
        <f t="shared" si="203"/>
        <v>15959991</v>
      </c>
      <c r="H106" s="407">
        <f>SUM(H34+H64+H73+H82+H91+H100+H103)</f>
        <v>14539612</v>
      </c>
      <c r="I106" s="522">
        <f>SUM(I34+I64+I73+I82+I91+I100+I103)</f>
        <v>13467465</v>
      </c>
      <c r="J106" s="299">
        <f t="shared" si="203"/>
        <v>1171643</v>
      </c>
      <c r="K106" s="299">
        <f t="shared" si="203"/>
        <v>1400368</v>
      </c>
      <c r="L106" s="192">
        <f t="shared" si="127"/>
        <v>19.5</v>
      </c>
      <c r="M106" s="299">
        <f>SUM(M34+M64+M73+M82+M91+M100+M103)</f>
        <v>1033841</v>
      </c>
      <c r="N106" s="299">
        <f>SUM(N34+N64+N73+N82+N91+N100+N103)</f>
        <v>1347203</v>
      </c>
      <c r="O106" s="192">
        <f t="shared" si="128"/>
        <v>30.3</v>
      </c>
      <c r="P106" s="299">
        <f>SUM(P34+P64+P73+P82+P91+P100+P103)</f>
        <v>2205484</v>
      </c>
      <c r="Q106" s="522">
        <f>SUM(Q34+Q64+Q73+Q82+Q91+Q100+Q103)</f>
        <v>2747571</v>
      </c>
      <c r="R106" s="192">
        <f t="shared" si="129"/>
        <v>24.6</v>
      </c>
      <c r="S106" s="299">
        <f>SUM(S34+S64+S73+S82+S91+S100+S103)</f>
        <v>1230749</v>
      </c>
      <c r="T106" s="299">
        <f>SUM(T34+T64+T73+T82+T91+T100+T103)</f>
        <v>1748264</v>
      </c>
      <c r="U106" s="192">
        <f t="shared" si="130"/>
        <v>42</v>
      </c>
      <c r="V106" s="299">
        <f>SUM(V34+V64+V73+V82+V91+V100+V103)</f>
        <v>3436233</v>
      </c>
      <c r="W106" s="522">
        <f>SUM(W34+W64+W73+W82+W91+W100+W103)</f>
        <v>4495835</v>
      </c>
      <c r="X106" s="192">
        <f t="shared" si="132"/>
        <v>30.8</v>
      </c>
      <c r="Y106" s="299">
        <f>SUM(Y34+Y64+Y73+Y82+Y91+Y100+Y103)</f>
        <v>1112013</v>
      </c>
      <c r="Z106" s="299">
        <f>SUM(Z34+Z64+Z73+Z82+Z91+Z100+Z103)</f>
        <v>1800504</v>
      </c>
      <c r="AA106" s="192">
        <f t="shared" si="133"/>
        <v>61.9</v>
      </c>
      <c r="AB106" s="522">
        <f>SUM(AB34+AB64+AB73+AB82+AB91+AB100+AB103)</f>
        <v>4548246</v>
      </c>
      <c r="AC106" s="522">
        <f>SUM(AC34+AC64+AC73+AC82+AC91+AC100+AC103)</f>
        <v>6296339</v>
      </c>
      <c r="AD106" s="192">
        <f t="shared" si="135"/>
        <v>38.4</v>
      </c>
      <c r="AE106" s="299">
        <f>SUM(AE34+AE64+AE73+AE82+AE91+AE100+AE103)</f>
        <v>978691</v>
      </c>
      <c r="AF106" s="299">
        <f>SUM(AF34+AF64+AF73+AF82+AF91+AF100+AF103)</f>
        <v>1652529</v>
      </c>
      <c r="AG106" s="192">
        <f t="shared" si="136"/>
        <v>68.900000000000006</v>
      </c>
      <c r="AH106" s="522">
        <f>SUM(AH34+AH64+AH73+AH82+AH91+AH100+AH103)</f>
        <v>5526937</v>
      </c>
      <c r="AI106" s="522">
        <f>SUM(AI34+AI64+AI73+AI82+AI91+AI100+AI103)</f>
        <v>7948868</v>
      </c>
      <c r="AJ106" s="192">
        <f t="shared" si="138"/>
        <v>43.8</v>
      </c>
    </row>
    <row r="107" spans="1:36" ht="22.5" customHeight="1">
      <c r="A107" s="739"/>
      <c r="B107" s="739"/>
      <c r="C107" s="739"/>
      <c r="D107" s="348" t="s">
        <v>9</v>
      </c>
      <c r="E107" s="17">
        <f t="shared" ref="E107:K107" si="204">E106/E105*1000</f>
        <v>3122.298110760134</v>
      </c>
      <c r="F107" s="17">
        <f t="shared" si="204"/>
        <v>3529.6179508325713</v>
      </c>
      <c r="G107" s="181">
        <f t="shared" si="204"/>
        <v>3844.6507291832281</v>
      </c>
      <c r="H107" s="408">
        <f>H106/H105*1000</f>
        <v>3437.8261766002161</v>
      </c>
      <c r="I107" s="515">
        <f>I106/I105*1000</f>
        <v>3297.4919652882827</v>
      </c>
      <c r="J107" s="300">
        <f t="shared" si="204"/>
        <v>3315.2795502069853</v>
      </c>
      <c r="K107" s="300">
        <f t="shared" si="204"/>
        <v>3838.9490623089596</v>
      </c>
      <c r="L107" s="193">
        <f t="shared" si="127"/>
        <v>15.8</v>
      </c>
      <c r="M107" s="300">
        <f>M106/M105*1000</f>
        <v>3327.1682216221957</v>
      </c>
      <c r="N107" s="300">
        <f>N106/N105*1000</f>
        <v>4034.9916137534442</v>
      </c>
      <c r="O107" s="193">
        <f t="shared" si="128"/>
        <v>21.3</v>
      </c>
      <c r="P107" s="300">
        <f>P106/P105*1000</f>
        <v>3320.8418782956451</v>
      </c>
      <c r="Q107" s="515">
        <f>Q106/Q105*1000</f>
        <v>3932.6352340698395</v>
      </c>
      <c r="R107" s="193">
        <f t="shared" si="129"/>
        <v>18.399999999999999</v>
      </c>
      <c r="S107" s="300">
        <f>S106/S105*1000</f>
        <v>3398.9483480945714</v>
      </c>
      <c r="T107" s="300">
        <f>T106/T105*1000</f>
        <v>4048.5849460771942</v>
      </c>
      <c r="U107" s="193">
        <f t="shared" si="130"/>
        <v>19.100000000000001</v>
      </c>
      <c r="V107" s="300">
        <f>V106/V105*1000</f>
        <v>3348.4010909824397</v>
      </c>
      <c r="W107" s="515">
        <f>W106/W105*1000</f>
        <v>3976.9257306630811</v>
      </c>
      <c r="X107" s="193">
        <f t="shared" si="132"/>
        <v>18.8</v>
      </c>
      <c r="Y107" s="300">
        <f>Y106/Y105*1000</f>
        <v>3120.0124574580614</v>
      </c>
      <c r="Z107" s="300">
        <f>Z106/Z105*1000</f>
        <v>4398.9513880914628</v>
      </c>
      <c r="AA107" s="193">
        <f t="shared" si="133"/>
        <v>41</v>
      </c>
      <c r="AB107" s="515">
        <f>AB106/AB105*1000</f>
        <v>3289.527890042556</v>
      </c>
      <c r="AC107" s="515">
        <f>AC106/AC105*1000</f>
        <v>4089.1080106742315</v>
      </c>
      <c r="AD107" s="193">
        <f t="shared" si="135"/>
        <v>24.3</v>
      </c>
      <c r="AE107" s="300">
        <f>AE106/AE105*1000</f>
        <v>3032.6601945357697</v>
      </c>
      <c r="AF107" s="300">
        <f>AF106/AF105*1000</f>
        <v>4520.8626283738313</v>
      </c>
      <c r="AG107" s="193">
        <f t="shared" si="136"/>
        <v>49.1</v>
      </c>
      <c r="AH107" s="515">
        <f>AH106/AH105*1000</f>
        <v>3240.9190781306716</v>
      </c>
      <c r="AI107" s="515">
        <f>AI106/AI105*1000</f>
        <v>4171.9398924168527</v>
      </c>
      <c r="AJ107" s="193">
        <f t="shared" si="138"/>
        <v>28.7</v>
      </c>
    </row>
  </sheetData>
  <mergeCells count="94">
    <mergeCell ref="H4:H5"/>
    <mergeCell ref="N3:O3"/>
    <mergeCell ref="T3:U3"/>
    <mergeCell ref="S4:U4"/>
    <mergeCell ref="V4:X4"/>
    <mergeCell ref="B15:B17"/>
    <mergeCell ref="B45:B47"/>
    <mergeCell ref="C45:C47"/>
    <mergeCell ref="M4:O4"/>
    <mergeCell ref="AF3:AG3"/>
    <mergeCell ref="A6:A7"/>
    <mergeCell ref="P4:R4"/>
    <mergeCell ref="E4:E5"/>
    <mergeCell ref="G4:G5"/>
    <mergeCell ref="Z3:AA3"/>
    <mergeCell ref="Y4:AA4"/>
    <mergeCell ref="AB4:AD4"/>
    <mergeCell ref="A4:D5"/>
    <mergeCell ref="AE4:AG4"/>
    <mergeCell ref="AH4:AJ4"/>
    <mergeCell ref="F4:F5"/>
    <mergeCell ref="I4:I5"/>
    <mergeCell ref="J4:L4"/>
    <mergeCell ref="B48:B50"/>
    <mergeCell ref="C48:C50"/>
    <mergeCell ref="B33:B35"/>
    <mergeCell ref="C33:C35"/>
    <mergeCell ref="B42:B44"/>
    <mergeCell ref="C42:C44"/>
    <mergeCell ref="B39:B41"/>
    <mergeCell ref="C39:C41"/>
    <mergeCell ref="A84:A85"/>
    <mergeCell ref="A66:A67"/>
    <mergeCell ref="B66:B68"/>
    <mergeCell ref="C66:C68"/>
    <mergeCell ref="B69:B71"/>
    <mergeCell ref="C69:C71"/>
    <mergeCell ref="B72:B74"/>
    <mergeCell ref="C72:C74"/>
    <mergeCell ref="A75:A76"/>
    <mergeCell ref="B75:B77"/>
    <mergeCell ref="C60:C62"/>
    <mergeCell ref="B63:B65"/>
    <mergeCell ref="C63:C65"/>
    <mergeCell ref="B51:B53"/>
    <mergeCell ref="B57:B59"/>
    <mergeCell ref="C57:C59"/>
    <mergeCell ref="B60:B62"/>
    <mergeCell ref="C51:C53"/>
    <mergeCell ref="B54:B56"/>
    <mergeCell ref="C54:C56"/>
    <mergeCell ref="C87:C89"/>
    <mergeCell ref="B87:B89"/>
    <mergeCell ref="C75:C77"/>
    <mergeCell ref="B84:B86"/>
    <mergeCell ref="C84:C86"/>
    <mergeCell ref="C78:C80"/>
    <mergeCell ref="B81:B83"/>
    <mergeCell ref="C81:C83"/>
    <mergeCell ref="B78:B80"/>
    <mergeCell ref="B90:B92"/>
    <mergeCell ref="C90:C92"/>
    <mergeCell ref="A93:A94"/>
    <mergeCell ref="B93:B95"/>
    <mergeCell ref="C93:C95"/>
    <mergeCell ref="A105:C107"/>
    <mergeCell ref="B96:B98"/>
    <mergeCell ref="C96:C98"/>
    <mergeCell ref="B99:B101"/>
    <mergeCell ref="C99:C101"/>
    <mergeCell ref="A102:A104"/>
    <mergeCell ref="B102:B104"/>
    <mergeCell ref="C102:C104"/>
    <mergeCell ref="A1:AJ1"/>
    <mergeCell ref="A36:A37"/>
    <mergeCell ref="B36:B38"/>
    <mergeCell ref="C36:C38"/>
    <mergeCell ref="C15:C17"/>
    <mergeCell ref="B18:B20"/>
    <mergeCell ref="C18:C20"/>
    <mergeCell ref="B6:B8"/>
    <mergeCell ref="B30:B32"/>
    <mergeCell ref="C27:C29"/>
    <mergeCell ref="C30:C32"/>
    <mergeCell ref="B27:B29"/>
    <mergeCell ref="C6:C8"/>
    <mergeCell ref="B21:B23"/>
    <mergeCell ref="C9:C11"/>
    <mergeCell ref="C21:C23"/>
    <mergeCell ref="B24:B26"/>
    <mergeCell ref="C24:C26"/>
    <mergeCell ref="B9:B11"/>
    <mergeCell ref="B12:B14"/>
    <mergeCell ref="C12:C14"/>
  </mergeCells>
  <phoneticPr fontId="2" type="noConversion"/>
  <printOptions horizontalCentered="1"/>
  <pageMargins left="0.11811023622047245" right="0.31496062992125984" top="0.74803149606299213" bottom="0.74803149606299213" header="0.31496062992125984" footer="0.31496062992125984"/>
  <pageSetup paperSize="9" scale="90" orientation="portrait" r:id="rId1"/>
  <rowBreaks count="3" manualBreakCount="3">
    <brk id="35" max="16383" man="1"/>
    <brk id="65" max="16383" man="1"/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69"/>
  <sheetViews>
    <sheetView tabSelected="1" zoomScale="90" zoomScaleNormal="90" workbookViewId="0">
      <pane xSplit="11" ySplit="7" topLeftCell="AN8" activePane="bottomRight" state="frozen"/>
      <selection pane="topRight" activeCell="V1" sqref="V1"/>
      <selection pane="bottomLeft" activeCell="A8" sqref="A8"/>
      <selection pane="bottomRight"/>
    </sheetView>
  </sheetViews>
  <sheetFormatPr defaultRowHeight="16.5"/>
  <cols>
    <col min="1" max="1" width="4.375" customWidth="1"/>
    <col min="2" max="2" width="6.75" customWidth="1"/>
    <col min="3" max="3" width="6.875" customWidth="1"/>
    <col min="4" max="7" width="14.125" hidden="1" customWidth="1"/>
    <col min="8" max="9" width="14.125" style="292" hidden="1" customWidth="1"/>
    <col min="10" max="11" width="14.125" style="596" hidden="1" customWidth="1"/>
    <col min="12" max="13" width="14.125" style="596" customWidth="1"/>
    <col min="14" max="15" width="12.625" style="304" hidden="1" customWidth="1"/>
    <col min="16" max="16" width="12.625" style="292" hidden="1" customWidth="1"/>
    <col min="17" max="17" width="8.625" hidden="1" customWidth="1"/>
    <col min="18" max="18" width="12.625" style="292" hidden="1" customWidth="1"/>
    <col min="19" max="19" width="8.625" hidden="1" customWidth="1"/>
    <col min="20" max="21" width="12.625" style="304" hidden="1" customWidth="1"/>
    <col min="22" max="22" width="12.625" style="292" hidden="1" customWidth="1"/>
    <col min="23" max="23" width="8.625" style="277" hidden="1" customWidth="1"/>
    <col min="24" max="24" width="12.625" style="292" hidden="1" customWidth="1"/>
    <col min="25" max="25" width="8.625" style="277" hidden="1" customWidth="1"/>
    <col min="26" max="27" width="12.625" style="304" hidden="1" customWidth="1"/>
    <col min="28" max="28" width="12.625" style="292" hidden="1" customWidth="1"/>
    <col min="29" max="29" width="8.625" style="277" hidden="1" customWidth="1"/>
    <col min="30" max="30" width="12.625" style="292" hidden="1" customWidth="1"/>
    <col min="31" max="31" width="8.625" style="277" hidden="1" customWidth="1"/>
    <col min="32" max="33" width="12.625" style="304" hidden="1" customWidth="1"/>
    <col min="34" max="34" width="12.625" style="292" hidden="1" customWidth="1"/>
    <col min="35" max="35" width="8.625" style="277" hidden="1" customWidth="1"/>
    <col min="36" max="36" width="12.625" style="292" hidden="1" customWidth="1"/>
    <col min="37" max="37" width="8.625" style="277" hidden="1" customWidth="1"/>
    <col min="38" max="39" width="12.625" style="304" hidden="1" customWidth="1"/>
    <col min="40" max="40" width="12.625" style="292" hidden="1" customWidth="1"/>
    <col min="41" max="41" width="8.625" style="277" hidden="1" customWidth="1"/>
    <col min="42" max="42" width="12.625" style="292" hidden="1" customWidth="1"/>
    <col min="43" max="43" width="8.625" style="277" hidden="1" customWidth="1"/>
    <col min="44" max="45" width="12.625" style="304" hidden="1" customWidth="1"/>
    <col min="46" max="46" width="12.625" style="292" hidden="1" customWidth="1"/>
    <col min="47" max="47" width="8.625" style="277" hidden="1" customWidth="1"/>
    <col min="48" max="48" width="12.625" style="292" hidden="1" customWidth="1"/>
    <col min="49" max="49" width="8.625" style="277" hidden="1" customWidth="1"/>
    <col min="50" max="51" width="12.625" style="304" hidden="1" customWidth="1"/>
    <col min="52" max="52" width="12.625" style="292" hidden="1" customWidth="1"/>
    <col min="53" max="53" width="8.625" style="277" hidden="1" customWidth="1"/>
    <col min="54" max="54" width="12.625" style="292" hidden="1" customWidth="1"/>
    <col min="55" max="55" width="8.625" style="277" hidden="1" customWidth="1"/>
    <col min="56" max="57" width="12.625" style="304" customWidth="1"/>
    <col min="58" max="58" width="12.625" style="292" customWidth="1"/>
    <col min="59" max="59" width="8.625" style="277" customWidth="1"/>
    <col min="60" max="60" width="12.625" style="292" customWidth="1"/>
    <col min="61" max="61" width="8.625" style="277" customWidth="1"/>
    <col min="62" max="63" width="12.625" style="595" customWidth="1"/>
    <col min="64" max="64" width="12.625" style="292" customWidth="1"/>
    <col min="65" max="65" width="8.625" style="277" customWidth="1"/>
    <col min="66" max="66" width="12.625" style="292" customWidth="1"/>
    <col min="67" max="67" width="8.625" style="277" customWidth="1"/>
  </cols>
  <sheetData>
    <row r="1" spans="1:67" ht="22.5">
      <c r="A1" s="109" t="s">
        <v>244</v>
      </c>
    </row>
    <row r="3" spans="1:67">
      <c r="H3" s="170"/>
      <c r="I3" s="260"/>
      <c r="K3" s="369"/>
      <c r="M3" s="369"/>
      <c r="R3" s="798" t="s">
        <v>0</v>
      </c>
      <c r="S3" s="798"/>
      <c r="X3" s="798"/>
      <c r="Y3" s="798"/>
      <c r="AD3" s="798" t="s">
        <v>0</v>
      </c>
      <c r="AE3" s="798"/>
      <c r="AJ3" s="798"/>
      <c r="AK3" s="798"/>
      <c r="AP3" s="798" t="s">
        <v>0</v>
      </c>
      <c r="AQ3" s="798"/>
      <c r="AV3" s="798"/>
      <c r="AW3" s="798"/>
      <c r="BB3" s="798" t="s">
        <v>0</v>
      </c>
      <c r="BC3" s="798"/>
      <c r="BH3" s="798"/>
      <c r="BI3" s="798"/>
      <c r="BN3" s="798" t="s">
        <v>0</v>
      </c>
      <c r="BO3" s="798"/>
    </row>
    <row r="4" spans="1:67" ht="18" customHeight="1">
      <c r="A4" s="110"/>
      <c r="B4" s="111"/>
      <c r="C4" s="818" t="s">
        <v>245</v>
      </c>
      <c r="D4" s="799" t="s">
        <v>2</v>
      </c>
      <c r="E4" s="799"/>
      <c r="F4" s="799" t="s">
        <v>3</v>
      </c>
      <c r="G4" s="799"/>
      <c r="H4" s="799" t="s">
        <v>295</v>
      </c>
      <c r="I4" s="799"/>
      <c r="J4" s="799" t="s">
        <v>294</v>
      </c>
      <c r="K4" s="799"/>
      <c r="L4" s="799" t="s">
        <v>431</v>
      </c>
      <c r="M4" s="799"/>
      <c r="N4" s="799" t="s">
        <v>246</v>
      </c>
      <c r="O4" s="799"/>
      <c r="P4" s="800"/>
      <c r="Q4" s="799"/>
      <c r="R4" s="800"/>
      <c r="S4" s="799"/>
      <c r="T4" s="799" t="s">
        <v>458</v>
      </c>
      <c r="U4" s="799"/>
      <c r="V4" s="800"/>
      <c r="W4" s="799"/>
      <c r="X4" s="800"/>
      <c r="Y4" s="799"/>
      <c r="Z4" s="799" t="s">
        <v>483</v>
      </c>
      <c r="AA4" s="799"/>
      <c r="AB4" s="800"/>
      <c r="AC4" s="799"/>
      <c r="AD4" s="800"/>
      <c r="AE4" s="799"/>
      <c r="AF4" s="799" t="s">
        <v>479</v>
      </c>
      <c r="AG4" s="799"/>
      <c r="AH4" s="800"/>
      <c r="AI4" s="799"/>
      <c r="AJ4" s="800"/>
      <c r="AK4" s="799"/>
      <c r="AL4" s="799" t="s">
        <v>482</v>
      </c>
      <c r="AM4" s="799"/>
      <c r="AN4" s="800"/>
      <c r="AO4" s="799"/>
      <c r="AP4" s="800"/>
      <c r="AQ4" s="799"/>
      <c r="AR4" s="799" t="s">
        <v>488</v>
      </c>
      <c r="AS4" s="799"/>
      <c r="AT4" s="800"/>
      <c r="AU4" s="799"/>
      <c r="AV4" s="800"/>
      <c r="AW4" s="799"/>
      <c r="AX4" s="799" t="s">
        <v>489</v>
      </c>
      <c r="AY4" s="799"/>
      <c r="AZ4" s="800"/>
      <c r="BA4" s="799"/>
      <c r="BB4" s="800"/>
      <c r="BC4" s="799"/>
      <c r="BD4" s="799" t="s">
        <v>490</v>
      </c>
      <c r="BE4" s="799"/>
      <c r="BF4" s="800"/>
      <c r="BG4" s="799"/>
      <c r="BH4" s="800"/>
      <c r="BI4" s="799"/>
      <c r="BJ4" s="799" t="s">
        <v>491</v>
      </c>
      <c r="BK4" s="799"/>
      <c r="BL4" s="800"/>
      <c r="BM4" s="799"/>
      <c r="BN4" s="800"/>
      <c r="BO4" s="799"/>
    </row>
    <row r="5" spans="1:67" ht="18" customHeight="1">
      <c r="A5" s="112"/>
      <c r="B5" s="113"/>
      <c r="C5" s="817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 t="s">
        <v>431</v>
      </c>
      <c r="O5" s="799"/>
      <c r="P5" s="800" t="s">
        <v>503</v>
      </c>
      <c r="Q5" s="799"/>
      <c r="R5" s="800"/>
      <c r="S5" s="799"/>
      <c r="T5" s="799" t="s">
        <v>431</v>
      </c>
      <c r="U5" s="799"/>
      <c r="V5" s="800" t="s">
        <v>503</v>
      </c>
      <c r="W5" s="799"/>
      <c r="X5" s="800"/>
      <c r="Y5" s="799"/>
      <c r="Z5" s="799" t="s">
        <v>431</v>
      </c>
      <c r="AA5" s="799"/>
      <c r="AB5" s="800" t="s">
        <v>503</v>
      </c>
      <c r="AC5" s="799"/>
      <c r="AD5" s="800"/>
      <c r="AE5" s="799"/>
      <c r="AF5" s="799" t="s">
        <v>431</v>
      </c>
      <c r="AG5" s="799"/>
      <c r="AH5" s="800" t="s">
        <v>503</v>
      </c>
      <c r="AI5" s="799"/>
      <c r="AJ5" s="800"/>
      <c r="AK5" s="799"/>
      <c r="AL5" s="799" t="s">
        <v>431</v>
      </c>
      <c r="AM5" s="799"/>
      <c r="AN5" s="800" t="s">
        <v>503</v>
      </c>
      <c r="AO5" s="799"/>
      <c r="AP5" s="800"/>
      <c r="AQ5" s="799"/>
      <c r="AR5" s="799" t="s">
        <v>431</v>
      </c>
      <c r="AS5" s="799"/>
      <c r="AT5" s="800" t="s">
        <v>503</v>
      </c>
      <c r="AU5" s="799"/>
      <c r="AV5" s="800"/>
      <c r="AW5" s="799"/>
      <c r="AX5" s="799" t="s">
        <v>431</v>
      </c>
      <c r="AY5" s="799"/>
      <c r="AZ5" s="800" t="s">
        <v>503</v>
      </c>
      <c r="BA5" s="799"/>
      <c r="BB5" s="800"/>
      <c r="BC5" s="799"/>
      <c r="BD5" s="799" t="s">
        <v>431</v>
      </c>
      <c r="BE5" s="799"/>
      <c r="BF5" s="800" t="s">
        <v>503</v>
      </c>
      <c r="BG5" s="799"/>
      <c r="BH5" s="800"/>
      <c r="BI5" s="799"/>
      <c r="BJ5" s="799" t="s">
        <v>431</v>
      </c>
      <c r="BK5" s="799"/>
      <c r="BL5" s="800" t="s">
        <v>503</v>
      </c>
      <c r="BM5" s="799"/>
      <c r="BN5" s="800"/>
      <c r="BO5" s="799"/>
    </row>
    <row r="6" spans="1:67" ht="18" customHeight="1">
      <c r="A6" s="813" t="s">
        <v>247</v>
      </c>
      <c r="B6" s="814"/>
      <c r="C6" s="816" t="s">
        <v>248</v>
      </c>
      <c r="D6" s="799" t="s">
        <v>90</v>
      </c>
      <c r="E6" s="799" t="s">
        <v>126</v>
      </c>
      <c r="F6" s="799" t="s">
        <v>90</v>
      </c>
      <c r="G6" s="799" t="s">
        <v>126</v>
      </c>
      <c r="H6" s="802" t="s">
        <v>291</v>
      </c>
      <c r="I6" s="802" t="s">
        <v>172</v>
      </c>
      <c r="J6" s="802" t="s">
        <v>499</v>
      </c>
      <c r="K6" s="802" t="s">
        <v>500</v>
      </c>
      <c r="L6" s="802" t="s">
        <v>145</v>
      </c>
      <c r="M6" s="802" t="s">
        <v>126</v>
      </c>
      <c r="N6" s="799" t="s">
        <v>90</v>
      </c>
      <c r="O6" s="799" t="s">
        <v>126</v>
      </c>
      <c r="P6" s="802" t="s">
        <v>90</v>
      </c>
      <c r="Q6" s="217"/>
      <c r="R6" s="802" t="s">
        <v>126</v>
      </c>
      <c r="S6" s="217"/>
      <c r="T6" s="799" t="s">
        <v>90</v>
      </c>
      <c r="U6" s="799" t="s">
        <v>126</v>
      </c>
      <c r="V6" s="802" t="s">
        <v>90</v>
      </c>
      <c r="W6" s="431"/>
      <c r="X6" s="802" t="s">
        <v>126</v>
      </c>
      <c r="Y6" s="431"/>
      <c r="Z6" s="799" t="s">
        <v>90</v>
      </c>
      <c r="AA6" s="799" t="s">
        <v>172</v>
      </c>
      <c r="AB6" s="802" t="s">
        <v>90</v>
      </c>
      <c r="AC6" s="431"/>
      <c r="AD6" s="802" t="s">
        <v>476</v>
      </c>
      <c r="AE6" s="431"/>
      <c r="AF6" s="799" t="s">
        <v>90</v>
      </c>
      <c r="AG6" s="799" t="s">
        <v>126</v>
      </c>
      <c r="AH6" s="802" t="s">
        <v>90</v>
      </c>
      <c r="AI6" s="455"/>
      <c r="AJ6" s="802" t="s">
        <v>126</v>
      </c>
      <c r="AK6" s="455"/>
      <c r="AL6" s="799" t="s">
        <v>90</v>
      </c>
      <c r="AM6" s="799" t="s">
        <v>172</v>
      </c>
      <c r="AN6" s="802" t="s">
        <v>90</v>
      </c>
      <c r="AO6" s="455"/>
      <c r="AP6" s="802" t="s">
        <v>172</v>
      </c>
      <c r="AQ6" s="455"/>
      <c r="AR6" s="799" t="s">
        <v>90</v>
      </c>
      <c r="AS6" s="799" t="s">
        <v>126</v>
      </c>
      <c r="AT6" s="802" t="s">
        <v>90</v>
      </c>
      <c r="AU6" s="460"/>
      <c r="AV6" s="802" t="s">
        <v>126</v>
      </c>
      <c r="AW6" s="460"/>
      <c r="AX6" s="799" t="s">
        <v>90</v>
      </c>
      <c r="AY6" s="799" t="s">
        <v>172</v>
      </c>
      <c r="AZ6" s="802" t="s">
        <v>90</v>
      </c>
      <c r="BA6" s="460"/>
      <c r="BB6" s="802" t="s">
        <v>172</v>
      </c>
      <c r="BC6" s="460"/>
      <c r="BD6" s="799" t="s">
        <v>90</v>
      </c>
      <c r="BE6" s="799" t="s">
        <v>126</v>
      </c>
      <c r="BF6" s="802" t="s">
        <v>90</v>
      </c>
      <c r="BG6" s="476"/>
      <c r="BH6" s="802" t="s">
        <v>126</v>
      </c>
      <c r="BI6" s="476"/>
      <c r="BJ6" s="799" t="s">
        <v>90</v>
      </c>
      <c r="BK6" s="799" t="s">
        <v>126</v>
      </c>
      <c r="BL6" s="802" t="s">
        <v>90</v>
      </c>
      <c r="BM6" s="476"/>
      <c r="BN6" s="802" t="s">
        <v>126</v>
      </c>
      <c r="BO6" s="476"/>
    </row>
    <row r="7" spans="1:67" ht="18" customHeight="1">
      <c r="A7" s="801"/>
      <c r="B7" s="815"/>
      <c r="C7" s="817"/>
      <c r="D7" s="801"/>
      <c r="E7" s="801"/>
      <c r="F7" s="801"/>
      <c r="G7" s="801"/>
      <c r="H7" s="803"/>
      <c r="I7" s="803"/>
      <c r="J7" s="803"/>
      <c r="K7" s="803"/>
      <c r="L7" s="800"/>
      <c r="M7" s="803"/>
      <c r="N7" s="801"/>
      <c r="O7" s="801"/>
      <c r="P7" s="800"/>
      <c r="Q7" s="218" t="s">
        <v>249</v>
      </c>
      <c r="R7" s="803"/>
      <c r="S7" s="219" t="s">
        <v>249</v>
      </c>
      <c r="T7" s="801"/>
      <c r="U7" s="801"/>
      <c r="V7" s="800"/>
      <c r="W7" s="432" t="s">
        <v>249</v>
      </c>
      <c r="X7" s="803"/>
      <c r="Y7" s="430" t="s">
        <v>249</v>
      </c>
      <c r="Z7" s="801"/>
      <c r="AA7" s="801"/>
      <c r="AB7" s="800"/>
      <c r="AC7" s="432" t="s">
        <v>249</v>
      </c>
      <c r="AD7" s="803"/>
      <c r="AE7" s="430" t="s">
        <v>249</v>
      </c>
      <c r="AF7" s="801"/>
      <c r="AG7" s="801"/>
      <c r="AH7" s="800"/>
      <c r="AI7" s="454" t="s">
        <v>249</v>
      </c>
      <c r="AJ7" s="803"/>
      <c r="AK7" s="453" t="s">
        <v>249</v>
      </c>
      <c r="AL7" s="801"/>
      <c r="AM7" s="801"/>
      <c r="AN7" s="800"/>
      <c r="AO7" s="454" t="s">
        <v>249</v>
      </c>
      <c r="AP7" s="803"/>
      <c r="AQ7" s="453" t="s">
        <v>249</v>
      </c>
      <c r="AR7" s="801"/>
      <c r="AS7" s="801"/>
      <c r="AT7" s="800"/>
      <c r="AU7" s="461" t="s">
        <v>249</v>
      </c>
      <c r="AV7" s="803"/>
      <c r="AW7" s="459" t="s">
        <v>249</v>
      </c>
      <c r="AX7" s="801"/>
      <c r="AY7" s="801"/>
      <c r="AZ7" s="800"/>
      <c r="BA7" s="461" t="s">
        <v>249</v>
      </c>
      <c r="BB7" s="803"/>
      <c r="BC7" s="459" t="s">
        <v>249</v>
      </c>
      <c r="BD7" s="801"/>
      <c r="BE7" s="801"/>
      <c r="BF7" s="800"/>
      <c r="BG7" s="475" t="s">
        <v>494</v>
      </c>
      <c r="BH7" s="803"/>
      <c r="BI7" s="474" t="s">
        <v>494</v>
      </c>
      <c r="BJ7" s="801"/>
      <c r="BK7" s="801"/>
      <c r="BL7" s="800"/>
      <c r="BM7" s="475" t="s">
        <v>494</v>
      </c>
      <c r="BN7" s="803"/>
      <c r="BO7" s="474" t="s">
        <v>494</v>
      </c>
    </row>
    <row r="8" spans="1:67" ht="21.75" customHeight="1">
      <c r="A8" s="809" t="s">
        <v>250</v>
      </c>
      <c r="B8" s="805" t="s">
        <v>251</v>
      </c>
      <c r="C8" s="114" t="s">
        <v>569</v>
      </c>
      <c r="D8" s="115">
        <v>82296</v>
      </c>
      <c r="E8" s="115">
        <v>273616</v>
      </c>
      <c r="F8" s="115">
        <v>96775</v>
      </c>
      <c r="G8" s="115">
        <v>331003</v>
      </c>
      <c r="H8" s="281">
        <v>77824</v>
      </c>
      <c r="I8" s="281">
        <v>338644</v>
      </c>
      <c r="J8" s="599">
        <v>78452</v>
      </c>
      <c r="K8" s="599">
        <v>355381</v>
      </c>
      <c r="L8" s="599">
        <v>65652</v>
      </c>
      <c r="M8" s="599">
        <v>334198</v>
      </c>
      <c r="N8" s="599">
        <v>5141</v>
      </c>
      <c r="O8" s="599">
        <v>33087</v>
      </c>
      <c r="P8" s="281">
        <v>3883</v>
      </c>
      <c r="Q8" s="116">
        <f>ROUND(((P8/N8-1)*100),1)</f>
        <v>-24.5</v>
      </c>
      <c r="R8" s="281">
        <v>22706</v>
      </c>
      <c r="S8" s="116">
        <f>ROUND(((R8/O8-1)*100),1)</f>
        <v>-31.4</v>
      </c>
      <c r="T8" s="281">
        <f t="shared" ref="T8:V11" si="0">Z8-N8</f>
        <v>3339</v>
      </c>
      <c r="U8" s="281">
        <f t="shared" si="0"/>
        <v>32413</v>
      </c>
      <c r="V8" s="281">
        <f t="shared" si="0"/>
        <v>4372</v>
      </c>
      <c r="W8" s="116">
        <f>ROUND(((V8/T8-1)*100),1)</f>
        <v>30.9</v>
      </c>
      <c r="X8" s="281">
        <f>AD8-R8</f>
        <v>24717</v>
      </c>
      <c r="Y8" s="116">
        <f>ROUND(((X8/U8-1)*100),1)</f>
        <v>-23.7</v>
      </c>
      <c r="Z8" s="599">
        <v>8480</v>
      </c>
      <c r="AA8" s="281">
        <v>65500</v>
      </c>
      <c r="AB8" s="599">
        <v>8255</v>
      </c>
      <c r="AC8" s="116">
        <f>ROUND(((AB8/Z8-1)*100),1)</f>
        <v>-2.7</v>
      </c>
      <c r="AD8" s="281">
        <v>47423</v>
      </c>
      <c r="AE8" s="116">
        <f>ROUND(((AD8/AA8-1)*100),1)</f>
        <v>-27.6</v>
      </c>
      <c r="AF8" s="281">
        <f t="shared" ref="AF8:AH11" si="1">AL8-Z8</f>
        <v>3736</v>
      </c>
      <c r="AG8" s="281">
        <f t="shared" si="1"/>
        <v>32284</v>
      </c>
      <c r="AH8" s="281">
        <f t="shared" si="1"/>
        <v>10636</v>
      </c>
      <c r="AI8" s="116">
        <f>ROUND(((AH8/AF8-1)*100),1)</f>
        <v>184.7</v>
      </c>
      <c r="AJ8" s="281">
        <f>AP8-AD8</f>
        <v>29822</v>
      </c>
      <c r="AK8" s="116">
        <f>ROUND(((AJ8/AG8-1)*100),1)</f>
        <v>-7.6</v>
      </c>
      <c r="AL8" s="599">
        <v>12216</v>
      </c>
      <c r="AM8" s="599">
        <v>97784</v>
      </c>
      <c r="AN8" s="281">
        <v>18891</v>
      </c>
      <c r="AO8" s="116">
        <f>ROUND(((AN8/AL8-1)*100),1)</f>
        <v>54.6</v>
      </c>
      <c r="AP8" s="281">
        <v>77245</v>
      </c>
      <c r="AQ8" s="116">
        <f>ROUND(((AP8/AM8-1)*100),1)</f>
        <v>-21</v>
      </c>
      <c r="AR8" s="281">
        <f t="shared" ref="AR8:AR11" si="2">AX8-AL8</f>
        <v>1985</v>
      </c>
      <c r="AS8" s="281">
        <f t="shared" ref="AS8:AS11" si="3">AY8-AM8</f>
        <v>27974</v>
      </c>
      <c r="AT8" s="281">
        <f t="shared" ref="AT8:AT11" si="4">AZ8-AN8</f>
        <v>13348</v>
      </c>
      <c r="AU8" s="116">
        <f>ROUND(((AT8/AR8-1)*100),1)</f>
        <v>572.4</v>
      </c>
      <c r="AV8" s="281">
        <f>BB8-AP8</f>
        <v>30582</v>
      </c>
      <c r="AW8" s="116">
        <f>ROUND(((AV8/AS8-1)*100),1)</f>
        <v>9.3000000000000007</v>
      </c>
      <c r="AX8" s="599">
        <v>14201</v>
      </c>
      <c r="AY8" s="599">
        <v>125758</v>
      </c>
      <c r="AZ8" s="281">
        <v>32239</v>
      </c>
      <c r="BA8" s="116">
        <f>ROUND(((AZ8/AX8-1)*100),1)</f>
        <v>127</v>
      </c>
      <c r="BB8" s="281">
        <v>107827</v>
      </c>
      <c r="BC8" s="116">
        <f>ROUND(((BB8/AY8-1)*100),1)</f>
        <v>-14.3</v>
      </c>
      <c r="BD8" s="281">
        <f t="shared" ref="BD8:BF11" si="5">BJ8-AX8</f>
        <v>4048</v>
      </c>
      <c r="BE8" s="281">
        <f t="shared" si="5"/>
        <v>22630</v>
      </c>
      <c r="BF8" s="281">
        <f t="shared" si="5"/>
        <v>10547</v>
      </c>
      <c r="BG8" s="116">
        <f>ROUND(((BF8/BD8-1)*100),1)</f>
        <v>160.5</v>
      </c>
      <c r="BH8" s="281">
        <f>BN8-BB8</f>
        <v>30385</v>
      </c>
      <c r="BI8" s="116">
        <f>ROUND(((BH8/BE8-1)*100),1)</f>
        <v>34.299999999999997</v>
      </c>
      <c r="BJ8" s="599">
        <v>18249</v>
      </c>
      <c r="BK8" s="599">
        <v>148388</v>
      </c>
      <c r="BL8" s="281">
        <v>42786</v>
      </c>
      <c r="BM8" s="116">
        <f>ROUND(((BL8/BJ8-1)*100),1)</f>
        <v>134.5</v>
      </c>
      <c r="BN8" s="281">
        <v>138212</v>
      </c>
      <c r="BO8" s="116">
        <f>ROUND(((BN8/BK8-1)*100),1)</f>
        <v>-6.9</v>
      </c>
    </row>
    <row r="9" spans="1:67" ht="21.75" customHeight="1">
      <c r="A9" s="805"/>
      <c r="B9" s="805"/>
      <c r="C9" s="117" t="s">
        <v>252</v>
      </c>
      <c r="D9" s="118">
        <v>122410</v>
      </c>
      <c r="E9" s="118">
        <v>1189101</v>
      </c>
      <c r="F9" s="118">
        <v>116910</v>
      </c>
      <c r="G9" s="118">
        <v>1701338</v>
      </c>
      <c r="H9" s="282">
        <v>105269</v>
      </c>
      <c r="I9" s="282">
        <v>1988769</v>
      </c>
      <c r="J9" s="603">
        <v>119970</v>
      </c>
      <c r="K9" s="603">
        <v>1892483</v>
      </c>
      <c r="L9" s="603">
        <v>86431</v>
      </c>
      <c r="M9" s="603">
        <v>1717260</v>
      </c>
      <c r="N9" s="603">
        <v>4625</v>
      </c>
      <c r="O9" s="603">
        <v>170056</v>
      </c>
      <c r="P9" s="282">
        <v>4650</v>
      </c>
      <c r="Q9" s="119">
        <f t="shared" ref="Q9:Q65" si="6">ROUND(((P9/N9-1)*100),1)</f>
        <v>0.5</v>
      </c>
      <c r="R9" s="282">
        <v>142344</v>
      </c>
      <c r="S9" s="119">
        <f t="shared" ref="S9:S65" si="7">ROUND(((R9/O9-1)*100),1)</f>
        <v>-16.3</v>
      </c>
      <c r="T9" s="282">
        <f t="shared" si="0"/>
        <v>4329</v>
      </c>
      <c r="U9" s="282">
        <f t="shared" si="0"/>
        <v>167169</v>
      </c>
      <c r="V9" s="282">
        <f t="shared" si="0"/>
        <v>5644</v>
      </c>
      <c r="W9" s="119">
        <f>ROUND(((V9/T9-1)*100),1)</f>
        <v>30.4</v>
      </c>
      <c r="X9" s="282">
        <f>AD9-R9</f>
        <v>164332</v>
      </c>
      <c r="Y9" s="119">
        <f t="shared" ref="Y9:Y65" si="8">ROUND(((X9/U9-1)*100),1)</f>
        <v>-1.7</v>
      </c>
      <c r="Z9" s="603">
        <v>8954</v>
      </c>
      <c r="AA9" s="282">
        <v>337225</v>
      </c>
      <c r="AB9" s="603">
        <v>10294</v>
      </c>
      <c r="AC9" s="119">
        <f t="shared" ref="AC9:AC65" si="9">ROUND(((AB9/Z9-1)*100),1)</f>
        <v>15</v>
      </c>
      <c r="AD9" s="282">
        <v>306676</v>
      </c>
      <c r="AE9" s="119">
        <f t="shared" ref="AE9:AE65" si="10">ROUND(((AD9/AA9-1)*100),1)</f>
        <v>-9.1</v>
      </c>
      <c r="AF9" s="282">
        <f t="shared" si="1"/>
        <v>4938</v>
      </c>
      <c r="AG9" s="282">
        <f t="shared" si="1"/>
        <v>157508</v>
      </c>
      <c r="AH9" s="282">
        <f t="shared" si="1"/>
        <v>14581</v>
      </c>
      <c r="AI9" s="119">
        <f>ROUND(((AH9/AF9-1)*100),1)</f>
        <v>195.3</v>
      </c>
      <c r="AJ9" s="282">
        <f>AP9-AD9</f>
        <v>209080</v>
      </c>
      <c r="AK9" s="119">
        <f t="shared" ref="AK9:AK65" si="11">ROUND(((AJ9/AG9-1)*100),1)</f>
        <v>32.700000000000003</v>
      </c>
      <c r="AL9" s="603">
        <v>13892</v>
      </c>
      <c r="AM9" s="603">
        <v>494733</v>
      </c>
      <c r="AN9" s="282">
        <v>24875</v>
      </c>
      <c r="AO9" s="119">
        <f t="shared" ref="AO9:AO65" si="12">ROUND(((AN9/AL9-1)*100),1)</f>
        <v>79.099999999999994</v>
      </c>
      <c r="AP9" s="282">
        <v>515756</v>
      </c>
      <c r="AQ9" s="119">
        <f t="shared" ref="AQ9:AQ65" si="13">ROUND(((AP9/AM9-1)*100),1)</f>
        <v>4.2</v>
      </c>
      <c r="AR9" s="282">
        <f t="shared" si="2"/>
        <v>3735</v>
      </c>
      <c r="AS9" s="282">
        <f t="shared" si="3"/>
        <v>128292</v>
      </c>
      <c r="AT9" s="282">
        <f t="shared" si="4"/>
        <v>21823</v>
      </c>
      <c r="AU9" s="119">
        <f>ROUND(((AT9/AR9-1)*100),1)</f>
        <v>484.3</v>
      </c>
      <c r="AV9" s="282">
        <f>BB9-AP9</f>
        <v>230063</v>
      </c>
      <c r="AW9" s="119">
        <f t="shared" ref="AW9:AW65" si="14">ROUND(((AV9/AS9-1)*100),1)</f>
        <v>79.3</v>
      </c>
      <c r="AX9" s="603">
        <v>17627</v>
      </c>
      <c r="AY9" s="603">
        <v>623025</v>
      </c>
      <c r="AZ9" s="282">
        <v>46698</v>
      </c>
      <c r="BA9" s="119">
        <f t="shared" ref="BA9:BA65" si="15">ROUND(((AZ9/AX9-1)*100),1)</f>
        <v>164.9</v>
      </c>
      <c r="BB9" s="282">
        <v>745819</v>
      </c>
      <c r="BC9" s="119">
        <f t="shared" ref="BC9:BC65" si="16">ROUND(((BB9/AY9-1)*100),1)</f>
        <v>19.7</v>
      </c>
      <c r="BD9" s="282">
        <f t="shared" si="5"/>
        <v>5279</v>
      </c>
      <c r="BE9" s="282">
        <f t="shared" si="5"/>
        <v>100928</v>
      </c>
      <c r="BF9" s="282">
        <f t="shared" si="5"/>
        <v>16040</v>
      </c>
      <c r="BG9" s="119">
        <f>ROUND(((BF9/BD9-1)*100),1)</f>
        <v>203.8</v>
      </c>
      <c r="BH9" s="282">
        <f>BN9-BB9</f>
        <v>238654</v>
      </c>
      <c r="BI9" s="119">
        <f t="shared" ref="BI9:BI65" si="17">ROUND(((BH9/BE9-1)*100),1)</f>
        <v>136.5</v>
      </c>
      <c r="BJ9" s="603">
        <v>22906</v>
      </c>
      <c r="BK9" s="603">
        <v>723953</v>
      </c>
      <c r="BL9" s="282">
        <v>62738</v>
      </c>
      <c r="BM9" s="119">
        <f t="shared" ref="BM9:BM65" si="18">ROUND(((BL9/BJ9-1)*100),1)</f>
        <v>173.9</v>
      </c>
      <c r="BN9" s="282">
        <v>984473</v>
      </c>
      <c r="BO9" s="119">
        <f t="shared" ref="BO9:BO65" si="19">ROUND(((BN9/BK9-1)*100),1)</f>
        <v>36</v>
      </c>
    </row>
    <row r="10" spans="1:67" ht="21.75" customHeight="1">
      <c r="A10" s="805"/>
      <c r="B10" s="805" t="s">
        <v>253</v>
      </c>
      <c r="C10" s="114" t="s">
        <v>569</v>
      </c>
      <c r="D10" s="115">
        <v>268749</v>
      </c>
      <c r="E10" s="115">
        <v>405925</v>
      </c>
      <c r="F10" s="115">
        <v>238175</v>
      </c>
      <c r="G10" s="115">
        <v>329836</v>
      </c>
      <c r="H10" s="281">
        <v>243944</v>
      </c>
      <c r="I10" s="281">
        <v>285651</v>
      </c>
      <c r="J10" s="599">
        <v>275234</v>
      </c>
      <c r="K10" s="599">
        <v>248226</v>
      </c>
      <c r="L10" s="599">
        <v>284339</v>
      </c>
      <c r="M10" s="599">
        <v>238281</v>
      </c>
      <c r="N10" s="599">
        <v>20029</v>
      </c>
      <c r="O10" s="599">
        <v>17610</v>
      </c>
      <c r="P10" s="281">
        <v>21379</v>
      </c>
      <c r="Q10" s="116">
        <f t="shared" si="6"/>
        <v>6.7</v>
      </c>
      <c r="R10" s="281">
        <v>26655</v>
      </c>
      <c r="S10" s="116">
        <f t="shared" si="7"/>
        <v>51.4</v>
      </c>
      <c r="T10" s="281">
        <f t="shared" si="0"/>
        <v>20933</v>
      </c>
      <c r="U10" s="281">
        <f t="shared" si="0"/>
        <v>17597</v>
      </c>
      <c r="V10" s="281">
        <f t="shared" si="0"/>
        <v>24178</v>
      </c>
      <c r="W10" s="116">
        <f>ROUND(((V10/T10-1)*100),1)</f>
        <v>15.5</v>
      </c>
      <c r="X10" s="281">
        <f>AD10-R10</f>
        <v>25494</v>
      </c>
      <c r="Y10" s="116">
        <f t="shared" si="8"/>
        <v>44.9</v>
      </c>
      <c r="Z10" s="599">
        <v>40962</v>
      </c>
      <c r="AA10" s="281">
        <v>35207</v>
      </c>
      <c r="AB10" s="599">
        <v>45557</v>
      </c>
      <c r="AC10" s="116">
        <f t="shared" si="9"/>
        <v>11.2</v>
      </c>
      <c r="AD10" s="281">
        <v>52149</v>
      </c>
      <c r="AE10" s="116">
        <f t="shared" si="10"/>
        <v>48.1</v>
      </c>
      <c r="AF10" s="281">
        <f t="shared" si="1"/>
        <v>15568</v>
      </c>
      <c r="AG10" s="281">
        <f t="shared" si="1"/>
        <v>22239</v>
      </c>
      <c r="AH10" s="281">
        <f t="shared" si="1"/>
        <v>21718</v>
      </c>
      <c r="AI10" s="116">
        <f>ROUND(((AH10/AF10-1)*100),1)</f>
        <v>39.5</v>
      </c>
      <c r="AJ10" s="281">
        <f>AP10-AD10</f>
        <v>31576</v>
      </c>
      <c r="AK10" s="116">
        <f t="shared" si="11"/>
        <v>42</v>
      </c>
      <c r="AL10" s="599">
        <v>56530</v>
      </c>
      <c r="AM10" s="599">
        <v>57446</v>
      </c>
      <c r="AN10" s="281">
        <v>67275</v>
      </c>
      <c r="AO10" s="116">
        <f t="shared" si="12"/>
        <v>19</v>
      </c>
      <c r="AP10" s="281">
        <v>83725</v>
      </c>
      <c r="AQ10" s="116">
        <f t="shared" si="13"/>
        <v>45.7</v>
      </c>
      <c r="AR10" s="281">
        <f t="shared" si="2"/>
        <v>22694</v>
      </c>
      <c r="AS10" s="281">
        <f t="shared" si="3"/>
        <v>22375</v>
      </c>
      <c r="AT10" s="281">
        <f t="shared" si="4"/>
        <v>26812</v>
      </c>
      <c r="AU10" s="116">
        <f>ROUND(((AT10/AR10-1)*100),1)</f>
        <v>18.100000000000001</v>
      </c>
      <c r="AV10" s="281">
        <f>BB10-AP10</f>
        <v>25926</v>
      </c>
      <c r="AW10" s="116">
        <f t="shared" si="14"/>
        <v>15.9</v>
      </c>
      <c r="AX10" s="599">
        <v>79224</v>
      </c>
      <c r="AY10" s="599">
        <v>79821</v>
      </c>
      <c r="AZ10" s="281">
        <v>94087</v>
      </c>
      <c r="BA10" s="116">
        <f t="shared" si="15"/>
        <v>18.8</v>
      </c>
      <c r="BB10" s="281">
        <v>109651</v>
      </c>
      <c r="BC10" s="116">
        <f t="shared" si="16"/>
        <v>37.4</v>
      </c>
      <c r="BD10" s="281">
        <f t="shared" si="5"/>
        <v>21434</v>
      </c>
      <c r="BE10" s="281">
        <f t="shared" si="5"/>
        <v>19279</v>
      </c>
      <c r="BF10" s="281">
        <f t="shared" si="5"/>
        <v>30833</v>
      </c>
      <c r="BG10" s="116">
        <f>ROUND(((BF10/BD10-1)*100),1)</f>
        <v>43.9</v>
      </c>
      <c r="BH10" s="281">
        <f>BN10-BB10</f>
        <v>26220</v>
      </c>
      <c r="BI10" s="116">
        <f t="shared" si="17"/>
        <v>36</v>
      </c>
      <c r="BJ10" s="599">
        <v>100658</v>
      </c>
      <c r="BK10" s="599">
        <v>99100</v>
      </c>
      <c r="BL10" s="281">
        <v>124920</v>
      </c>
      <c r="BM10" s="116">
        <f t="shared" si="18"/>
        <v>24.1</v>
      </c>
      <c r="BN10" s="281">
        <v>135871</v>
      </c>
      <c r="BO10" s="116">
        <f t="shared" si="19"/>
        <v>37.1</v>
      </c>
    </row>
    <row r="11" spans="1:67" ht="21.75" customHeight="1">
      <c r="A11" s="805"/>
      <c r="B11" s="805"/>
      <c r="C11" s="117" t="s">
        <v>252</v>
      </c>
      <c r="D11" s="118">
        <v>1318095</v>
      </c>
      <c r="E11" s="118">
        <v>1968102</v>
      </c>
      <c r="F11" s="118">
        <v>1499091</v>
      </c>
      <c r="G11" s="118">
        <v>2019737</v>
      </c>
      <c r="H11" s="282">
        <v>1604338</v>
      </c>
      <c r="I11" s="282">
        <v>1888834</v>
      </c>
      <c r="J11" s="603">
        <v>1643645</v>
      </c>
      <c r="K11" s="604">
        <v>1510341</v>
      </c>
      <c r="L11" s="603">
        <v>1735880</v>
      </c>
      <c r="M11" s="603">
        <v>1459002</v>
      </c>
      <c r="N11" s="603">
        <v>116521</v>
      </c>
      <c r="O11" s="603">
        <v>107195</v>
      </c>
      <c r="P11" s="282">
        <v>166736</v>
      </c>
      <c r="Q11" s="119">
        <f t="shared" si="6"/>
        <v>43.1</v>
      </c>
      <c r="R11" s="282">
        <v>203764</v>
      </c>
      <c r="S11" s="119">
        <f t="shared" si="7"/>
        <v>90.1</v>
      </c>
      <c r="T11" s="282">
        <f t="shared" si="0"/>
        <v>118046</v>
      </c>
      <c r="U11" s="282">
        <f t="shared" si="0"/>
        <v>104069</v>
      </c>
      <c r="V11" s="282">
        <f t="shared" si="0"/>
        <v>198091</v>
      </c>
      <c r="W11" s="119">
        <f>ROUND(((V11/T11-1)*100),1)</f>
        <v>67.8</v>
      </c>
      <c r="X11" s="282">
        <f>AD11-R11</f>
        <v>202887</v>
      </c>
      <c r="Y11" s="119">
        <f t="shared" si="8"/>
        <v>95</v>
      </c>
      <c r="Z11" s="603">
        <v>234567</v>
      </c>
      <c r="AA11" s="282">
        <v>211264</v>
      </c>
      <c r="AB11" s="603">
        <v>364827</v>
      </c>
      <c r="AC11" s="119">
        <f t="shared" si="9"/>
        <v>55.5</v>
      </c>
      <c r="AD11" s="282">
        <v>406651</v>
      </c>
      <c r="AE11" s="119">
        <f t="shared" si="10"/>
        <v>92.5</v>
      </c>
      <c r="AF11" s="282">
        <f t="shared" si="1"/>
        <v>81164</v>
      </c>
      <c r="AG11" s="282">
        <f t="shared" si="1"/>
        <v>125846</v>
      </c>
      <c r="AH11" s="282">
        <f t="shared" si="1"/>
        <v>190831</v>
      </c>
      <c r="AI11" s="119">
        <f>ROUND(((AH11/AF11-1)*100),1)</f>
        <v>135.1</v>
      </c>
      <c r="AJ11" s="282">
        <f>AP11-AD11</f>
        <v>262036</v>
      </c>
      <c r="AK11" s="119">
        <f t="shared" si="11"/>
        <v>108.2</v>
      </c>
      <c r="AL11" s="603">
        <v>315731</v>
      </c>
      <c r="AM11" s="603">
        <v>337110</v>
      </c>
      <c r="AN11" s="282">
        <v>555658</v>
      </c>
      <c r="AO11" s="119">
        <f t="shared" si="12"/>
        <v>76</v>
      </c>
      <c r="AP11" s="282">
        <v>668687</v>
      </c>
      <c r="AQ11" s="119">
        <f t="shared" si="13"/>
        <v>98.4</v>
      </c>
      <c r="AR11" s="282">
        <f t="shared" si="2"/>
        <v>112305</v>
      </c>
      <c r="AS11" s="282">
        <f t="shared" si="3"/>
        <v>119776</v>
      </c>
      <c r="AT11" s="282">
        <f t="shared" si="4"/>
        <v>241387</v>
      </c>
      <c r="AU11" s="119">
        <f>ROUND(((AT11/AR11-1)*100),1)</f>
        <v>114.9</v>
      </c>
      <c r="AV11" s="282">
        <f>BB11-AP11</f>
        <v>230581</v>
      </c>
      <c r="AW11" s="119">
        <f t="shared" si="14"/>
        <v>92.5</v>
      </c>
      <c r="AX11" s="603">
        <v>428036</v>
      </c>
      <c r="AY11" s="603">
        <v>456886</v>
      </c>
      <c r="AZ11" s="282">
        <v>797045</v>
      </c>
      <c r="BA11" s="119">
        <f t="shared" si="15"/>
        <v>86.2</v>
      </c>
      <c r="BB11" s="282">
        <v>899268</v>
      </c>
      <c r="BC11" s="119">
        <f t="shared" si="16"/>
        <v>96.8</v>
      </c>
      <c r="BD11" s="282">
        <f t="shared" si="5"/>
        <v>111827</v>
      </c>
      <c r="BE11" s="282">
        <f t="shared" si="5"/>
        <v>102594</v>
      </c>
      <c r="BF11" s="282">
        <f t="shared" si="5"/>
        <v>304422</v>
      </c>
      <c r="BG11" s="119">
        <f>ROUND(((BF11/BD11-1)*100),1)</f>
        <v>172.2</v>
      </c>
      <c r="BH11" s="282">
        <f>BN11-BB11</f>
        <v>246274</v>
      </c>
      <c r="BI11" s="119">
        <f t="shared" si="17"/>
        <v>140</v>
      </c>
      <c r="BJ11" s="603">
        <v>539863</v>
      </c>
      <c r="BK11" s="603">
        <v>559480</v>
      </c>
      <c r="BL11" s="282">
        <v>1101467</v>
      </c>
      <c r="BM11" s="119">
        <f t="shared" si="18"/>
        <v>104</v>
      </c>
      <c r="BN11" s="282">
        <v>1145542</v>
      </c>
      <c r="BO11" s="119">
        <f t="shared" si="19"/>
        <v>104.8</v>
      </c>
    </row>
    <row r="12" spans="1:67" ht="21.75" customHeight="1">
      <c r="A12" s="805"/>
      <c r="B12" s="809" t="s">
        <v>254</v>
      </c>
      <c r="C12" s="114" t="s">
        <v>569</v>
      </c>
      <c r="D12" s="115">
        <f t="shared" ref="D12:F13" si="20">D14-D8-D10</f>
        <v>335527</v>
      </c>
      <c r="E12" s="115">
        <f>E14-E8-E10</f>
        <v>307070</v>
      </c>
      <c r="F12" s="115">
        <f t="shared" si="20"/>
        <v>360570</v>
      </c>
      <c r="G12" s="115">
        <f t="shared" ref="G12:J13" si="21">G14-G8-G10</f>
        <v>247897</v>
      </c>
      <c r="H12" s="281">
        <f t="shared" si="21"/>
        <v>370614</v>
      </c>
      <c r="I12" s="281">
        <f t="shared" si="21"/>
        <v>231252</v>
      </c>
      <c r="J12" s="599">
        <f t="shared" si="21"/>
        <v>336246</v>
      </c>
      <c r="K12" s="599">
        <f>K14-K8-K10</f>
        <v>248010</v>
      </c>
      <c r="L12" s="599">
        <f t="shared" ref="L12" si="22">L14-L8-L10</f>
        <v>355070</v>
      </c>
      <c r="M12" s="599">
        <f>M14-M8-M10</f>
        <v>243284</v>
      </c>
      <c r="N12" s="599">
        <f t="shared" ref="N12" si="23">N14-N8-N10</f>
        <v>27199</v>
      </c>
      <c r="O12" s="599">
        <f>O14-O8-O10</f>
        <v>22518</v>
      </c>
      <c r="P12" s="599">
        <f>P14-P8-P10</f>
        <v>31014</v>
      </c>
      <c r="Q12" s="116">
        <f t="shared" si="6"/>
        <v>14</v>
      </c>
      <c r="R12" s="599">
        <f>R14-R8-R10</f>
        <v>28392</v>
      </c>
      <c r="S12" s="116">
        <f t="shared" si="7"/>
        <v>26.1</v>
      </c>
      <c r="T12" s="281">
        <f t="shared" ref="T12:V13" si="24">T14-T8-T10</f>
        <v>28078</v>
      </c>
      <c r="U12" s="281">
        <f t="shared" si="24"/>
        <v>17305</v>
      </c>
      <c r="V12" s="281">
        <f t="shared" si="24"/>
        <v>29718</v>
      </c>
      <c r="W12" s="116">
        <f t="shared" ref="W12:W65" si="25">ROUND(((V12/T12-1)*100),1)</f>
        <v>5.8</v>
      </c>
      <c r="X12" s="281">
        <f>X14-X8-X10</f>
        <v>24361</v>
      </c>
      <c r="Y12" s="116">
        <f t="shared" si="8"/>
        <v>40.799999999999997</v>
      </c>
      <c r="Z12" s="599">
        <f t="shared" ref="Z12" si="26">Z14-Z8-Z10</f>
        <v>55277</v>
      </c>
      <c r="AA12" s="281">
        <f t="shared" ref="AA12:AB13" si="27">AA14-AA8-AA10</f>
        <v>39823</v>
      </c>
      <c r="AB12" s="599">
        <f t="shared" si="27"/>
        <v>60732</v>
      </c>
      <c r="AC12" s="116">
        <f t="shared" si="9"/>
        <v>9.9</v>
      </c>
      <c r="AD12" s="599">
        <f t="shared" ref="AD12" si="28">AD14-AD8-AD10</f>
        <v>52753</v>
      </c>
      <c r="AE12" s="116">
        <f t="shared" si="10"/>
        <v>32.5</v>
      </c>
      <c r="AF12" s="281">
        <f t="shared" ref="AF12:AH13" si="29">AF14-AF8-AF10</f>
        <v>34557</v>
      </c>
      <c r="AG12" s="281">
        <f t="shared" si="29"/>
        <v>28243</v>
      </c>
      <c r="AH12" s="281">
        <f t="shared" si="29"/>
        <v>34765</v>
      </c>
      <c r="AI12" s="116">
        <f t="shared" ref="AI12:AI65" si="30">ROUND(((AH12/AF12-1)*100),1)</f>
        <v>0.6</v>
      </c>
      <c r="AJ12" s="281">
        <f>AJ14-AJ8-AJ10</f>
        <v>24835</v>
      </c>
      <c r="AK12" s="116">
        <f t="shared" si="11"/>
        <v>-12.1</v>
      </c>
      <c r="AL12" s="599">
        <f t="shared" ref="AL12" si="31">AL14-AL8-AL10</f>
        <v>89834</v>
      </c>
      <c r="AM12" s="599">
        <f>AM14-AM8-AM10</f>
        <v>68066</v>
      </c>
      <c r="AN12" s="599">
        <f>AN14-AN8-AN10</f>
        <v>95497</v>
      </c>
      <c r="AO12" s="116">
        <f t="shared" si="12"/>
        <v>6.3</v>
      </c>
      <c r="AP12" s="599">
        <f>AP14-AP8-AP10</f>
        <v>77588</v>
      </c>
      <c r="AQ12" s="116">
        <f t="shared" si="13"/>
        <v>14</v>
      </c>
      <c r="AR12" s="281">
        <f t="shared" ref="AR12:AT12" si="32">AR14-AR8-AR10</f>
        <v>27251</v>
      </c>
      <c r="AS12" s="281">
        <f t="shared" si="32"/>
        <v>19374</v>
      </c>
      <c r="AT12" s="281">
        <f t="shared" si="32"/>
        <v>32836</v>
      </c>
      <c r="AU12" s="116">
        <f t="shared" ref="AU12:AU65" si="33">ROUND(((AT12/AR12-1)*100),1)</f>
        <v>20.5</v>
      </c>
      <c r="AV12" s="281">
        <f>AV14-AV8-AV10</f>
        <v>29494</v>
      </c>
      <c r="AW12" s="116">
        <f t="shared" si="14"/>
        <v>52.2</v>
      </c>
      <c r="AX12" s="599">
        <f t="shared" ref="AX12" si="34">AX14-AX8-AX10</f>
        <v>117085</v>
      </c>
      <c r="AY12" s="599">
        <f>AY14-AY8-AY10</f>
        <v>87440</v>
      </c>
      <c r="AZ12" s="599">
        <f>AZ14-AZ8-AZ10</f>
        <v>128333</v>
      </c>
      <c r="BA12" s="116">
        <f t="shared" si="15"/>
        <v>9.6</v>
      </c>
      <c r="BB12" s="599">
        <f>BB14-BB8-BB10</f>
        <v>107082</v>
      </c>
      <c r="BC12" s="116">
        <f t="shared" si="16"/>
        <v>22.5</v>
      </c>
      <c r="BD12" s="281">
        <f t="shared" ref="BD12:BF13" si="35">BD14-BD8-BD10</f>
        <v>23476</v>
      </c>
      <c r="BE12" s="281">
        <f t="shared" si="35"/>
        <v>16282</v>
      </c>
      <c r="BF12" s="281">
        <f t="shared" si="35"/>
        <v>32416</v>
      </c>
      <c r="BG12" s="116">
        <f t="shared" ref="BG12:BG65" si="36">ROUND(((BF12/BD12-1)*100),1)</f>
        <v>38.1</v>
      </c>
      <c r="BH12" s="281">
        <f>BH14-BH8-BH10</f>
        <v>22097</v>
      </c>
      <c r="BI12" s="116">
        <f t="shared" si="17"/>
        <v>35.700000000000003</v>
      </c>
      <c r="BJ12" s="599">
        <f t="shared" ref="BJ12:BJ13" si="37">BJ14-BJ8-BJ10</f>
        <v>140561</v>
      </c>
      <c r="BK12" s="599">
        <f>BK14-BK8-BK10</f>
        <v>103722</v>
      </c>
      <c r="BL12" s="599">
        <f>BL14-BL8-BL10</f>
        <v>160749</v>
      </c>
      <c r="BM12" s="116">
        <f t="shared" si="18"/>
        <v>14.4</v>
      </c>
      <c r="BN12" s="599">
        <f>BN14-BN8-BN10</f>
        <v>129179</v>
      </c>
      <c r="BO12" s="116">
        <f t="shared" si="19"/>
        <v>24.5</v>
      </c>
    </row>
    <row r="13" spans="1:67" ht="21.75" customHeight="1">
      <c r="A13" s="805"/>
      <c r="B13" s="805"/>
      <c r="C13" s="117" t="s">
        <v>252</v>
      </c>
      <c r="D13" s="118">
        <f t="shared" si="20"/>
        <v>2246622</v>
      </c>
      <c r="E13" s="118">
        <f>E15-E9-E11</f>
        <v>1940968</v>
      </c>
      <c r="F13" s="118">
        <f t="shared" si="20"/>
        <v>2812247</v>
      </c>
      <c r="G13" s="118">
        <f t="shared" si="21"/>
        <v>1959254</v>
      </c>
      <c r="H13" s="282">
        <f t="shared" si="21"/>
        <v>3194281</v>
      </c>
      <c r="I13" s="282">
        <f t="shared" si="21"/>
        <v>1914344</v>
      </c>
      <c r="J13" s="603">
        <f t="shared" si="21"/>
        <v>2879529</v>
      </c>
      <c r="K13" s="603">
        <f>K15-K9-K11</f>
        <v>1915946</v>
      </c>
      <c r="L13" s="603">
        <f t="shared" ref="L13" si="38">L15-L9-L11</f>
        <v>3004207</v>
      </c>
      <c r="M13" s="603">
        <f>M15-M9-M11</f>
        <v>1902924</v>
      </c>
      <c r="N13" s="603">
        <f t="shared" ref="N13" si="39">N15-N9-N11</f>
        <v>229326</v>
      </c>
      <c r="O13" s="603">
        <f>O15-O9-O11</f>
        <v>157886</v>
      </c>
      <c r="P13" s="603">
        <f>P15-P9-P11</f>
        <v>307358</v>
      </c>
      <c r="Q13" s="119">
        <f t="shared" si="6"/>
        <v>34</v>
      </c>
      <c r="R13" s="603">
        <f>R15-R9-R11</f>
        <v>245895</v>
      </c>
      <c r="S13" s="119">
        <f t="shared" si="7"/>
        <v>55.7</v>
      </c>
      <c r="T13" s="282">
        <f t="shared" si="24"/>
        <v>231538</v>
      </c>
      <c r="U13" s="282">
        <f t="shared" si="24"/>
        <v>130710</v>
      </c>
      <c r="V13" s="282">
        <f t="shared" si="24"/>
        <v>292426</v>
      </c>
      <c r="W13" s="119">
        <f t="shared" si="25"/>
        <v>26.3</v>
      </c>
      <c r="X13" s="282">
        <f>X15-X9-X11</f>
        <v>225406</v>
      </c>
      <c r="Y13" s="119">
        <f t="shared" si="8"/>
        <v>72.400000000000006</v>
      </c>
      <c r="Z13" s="603">
        <f t="shared" ref="Z13" si="40">Z15-Z9-Z11</f>
        <v>460864</v>
      </c>
      <c r="AA13" s="282">
        <f t="shared" si="27"/>
        <v>288596</v>
      </c>
      <c r="AB13" s="603">
        <f t="shared" si="27"/>
        <v>599784</v>
      </c>
      <c r="AC13" s="119">
        <f t="shared" si="9"/>
        <v>30.1</v>
      </c>
      <c r="AD13" s="603">
        <f t="shared" ref="AD13" si="41">AD15-AD9-AD11</f>
        <v>471301</v>
      </c>
      <c r="AE13" s="119">
        <f t="shared" si="10"/>
        <v>63.3</v>
      </c>
      <c r="AF13" s="282">
        <f t="shared" si="29"/>
        <v>279037</v>
      </c>
      <c r="AG13" s="282">
        <f t="shared" si="29"/>
        <v>195131</v>
      </c>
      <c r="AH13" s="282">
        <f t="shared" si="29"/>
        <v>368646</v>
      </c>
      <c r="AI13" s="119">
        <f t="shared" si="30"/>
        <v>32.1</v>
      </c>
      <c r="AJ13" s="282">
        <f>AJ15-AJ9-AJ11</f>
        <v>237905</v>
      </c>
      <c r="AK13" s="119">
        <f t="shared" si="11"/>
        <v>21.9</v>
      </c>
      <c r="AL13" s="603">
        <f t="shared" ref="AL13" si="42">AL15-AL9-AL11</f>
        <v>739901</v>
      </c>
      <c r="AM13" s="603">
        <f>AM15-AM9-AM11</f>
        <v>483727</v>
      </c>
      <c r="AN13" s="603">
        <f>AN15-AN9-AN11</f>
        <v>968430</v>
      </c>
      <c r="AO13" s="119">
        <f t="shared" si="12"/>
        <v>30.9</v>
      </c>
      <c r="AP13" s="603">
        <f>AP15-AP9-AP11</f>
        <v>709206</v>
      </c>
      <c r="AQ13" s="119">
        <f t="shared" si="13"/>
        <v>46.6</v>
      </c>
      <c r="AR13" s="282">
        <f t="shared" ref="AR13:AT13" si="43">AR15-AR9-AR11</f>
        <v>215361</v>
      </c>
      <c r="AS13" s="282">
        <f t="shared" si="43"/>
        <v>141462</v>
      </c>
      <c r="AT13" s="282">
        <f t="shared" si="43"/>
        <v>350635</v>
      </c>
      <c r="AU13" s="119">
        <f t="shared" si="33"/>
        <v>62.8</v>
      </c>
      <c r="AV13" s="282">
        <f>AV15-AV9-AV11</f>
        <v>297982</v>
      </c>
      <c r="AW13" s="119">
        <f t="shared" si="14"/>
        <v>110.6</v>
      </c>
      <c r="AX13" s="603">
        <f t="shared" ref="AX13" si="44">AX15-AX9-AX11</f>
        <v>955262</v>
      </c>
      <c r="AY13" s="603">
        <f>AY15-AY9-AY11</f>
        <v>625189</v>
      </c>
      <c r="AZ13" s="603">
        <f>AZ15-AZ9-AZ11</f>
        <v>1319065</v>
      </c>
      <c r="BA13" s="119">
        <f t="shared" si="15"/>
        <v>38.1</v>
      </c>
      <c r="BB13" s="603">
        <f>BB15-BB9-BB11</f>
        <v>1007188</v>
      </c>
      <c r="BC13" s="119">
        <f t="shared" si="16"/>
        <v>61.1</v>
      </c>
      <c r="BD13" s="282">
        <f t="shared" si="35"/>
        <v>185161</v>
      </c>
      <c r="BE13" s="282">
        <f t="shared" si="35"/>
        <v>136507</v>
      </c>
      <c r="BF13" s="282">
        <f t="shared" si="35"/>
        <v>381990</v>
      </c>
      <c r="BG13" s="119">
        <f t="shared" si="36"/>
        <v>106.3</v>
      </c>
      <c r="BH13" s="282">
        <f>BH15-BH9-BH11</f>
        <v>232351</v>
      </c>
      <c r="BI13" s="119">
        <f t="shared" si="17"/>
        <v>70.2</v>
      </c>
      <c r="BJ13" s="603">
        <f t="shared" si="37"/>
        <v>1140423</v>
      </c>
      <c r="BK13" s="603">
        <f>BK15-BK9-BK11</f>
        <v>761696</v>
      </c>
      <c r="BL13" s="603">
        <f>BL15-BL9-BL11</f>
        <v>1701055</v>
      </c>
      <c r="BM13" s="119">
        <f t="shared" si="18"/>
        <v>49.2</v>
      </c>
      <c r="BN13" s="603">
        <f>BN15-BN9-BN11</f>
        <v>1239539</v>
      </c>
      <c r="BO13" s="119">
        <f t="shared" si="19"/>
        <v>62.7</v>
      </c>
    </row>
    <row r="14" spans="1:67" ht="21.75" customHeight="1">
      <c r="A14" s="805"/>
      <c r="B14" s="810" t="s">
        <v>255</v>
      </c>
      <c r="C14" s="120" t="s">
        <v>569</v>
      </c>
      <c r="D14" s="121">
        <v>686572</v>
      </c>
      <c r="E14" s="121">
        <v>986611</v>
      </c>
      <c r="F14" s="121">
        <v>695520</v>
      </c>
      <c r="G14" s="121">
        <v>908736</v>
      </c>
      <c r="H14" s="283">
        <v>692382</v>
      </c>
      <c r="I14" s="283">
        <v>855547</v>
      </c>
      <c r="J14" s="601">
        <v>689932</v>
      </c>
      <c r="K14" s="601">
        <v>851617</v>
      </c>
      <c r="L14" s="601">
        <v>705061</v>
      </c>
      <c r="M14" s="601">
        <v>815763</v>
      </c>
      <c r="N14" s="601">
        <v>52369</v>
      </c>
      <c r="O14" s="601">
        <v>73215</v>
      </c>
      <c r="P14" s="283">
        <v>56276</v>
      </c>
      <c r="Q14" s="122">
        <f t="shared" si="6"/>
        <v>7.5</v>
      </c>
      <c r="R14" s="283">
        <v>77753</v>
      </c>
      <c r="S14" s="122">
        <f t="shared" si="7"/>
        <v>6.2</v>
      </c>
      <c r="T14" s="283">
        <f t="shared" ref="T14:T19" si="45">Z14-N14</f>
        <v>52350</v>
      </c>
      <c r="U14" s="283">
        <f t="shared" ref="U14:U19" si="46">AA14-O14</f>
        <v>67315</v>
      </c>
      <c r="V14" s="283">
        <f t="shared" ref="V14:V19" si="47">AB14-P14</f>
        <v>58268</v>
      </c>
      <c r="W14" s="122">
        <f t="shared" si="25"/>
        <v>11.3</v>
      </c>
      <c r="X14" s="283">
        <f t="shared" ref="X14:X19" si="48">AD14-R14</f>
        <v>74572</v>
      </c>
      <c r="Y14" s="122">
        <f t="shared" si="8"/>
        <v>10.8</v>
      </c>
      <c r="Z14" s="601">
        <v>104719</v>
      </c>
      <c r="AA14" s="283">
        <v>140530</v>
      </c>
      <c r="AB14" s="601">
        <v>114544</v>
      </c>
      <c r="AC14" s="122">
        <f t="shared" si="9"/>
        <v>9.4</v>
      </c>
      <c r="AD14" s="283">
        <v>152325</v>
      </c>
      <c r="AE14" s="122">
        <f t="shared" si="10"/>
        <v>8.4</v>
      </c>
      <c r="AF14" s="283">
        <f t="shared" ref="AF14:AF19" si="49">AL14-Z14</f>
        <v>53861</v>
      </c>
      <c r="AG14" s="283">
        <f t="shared" ref="AG14:AG19" si="50">AM14-AA14</f>
        <v>82766</v>
      </c>
      <c r="AH14" s="283">
        <f t="shared" ref="AH14:AH19" si="51">AN14-AB14</f>
        <v>67119</v>
      </c>
      <c r="AI14" s="122">
        <f t="shared" si="30"/>
        <v>24.6</v>
      </c>
      <c r="AJ14" s="283">
        <f t="shared" ref="AJ14:AJ19" si="52">AP14-AD14</f>
        <v>86233</v>
      </c>
      <c r="AK14" s="122">
        <f t="shared" si="11"/>
        <v>4.2</v>
      </c>
      <c r="AL14" s="601">
        <v>158580</v>
      </c>
      <c r="AM14" s="601">
        <v>223296</v>
      </c>
      <c r="AN14" s="283">
        <v>181663</v>
      </c>
      <c r="AO14" s="122">
        <f t="shared" si="12"/>
        <v>14.6</v>
      </c>
      <c r="AP14" s="283">
        <v>238558</v>
      </c>
      <c r="AQ14" s="122">
        <f t="shared" si="13"/>
        <v>6.8</v>
      </c>
      <c r="AR14" s="283">
        <f t="shared" ref="AR14:AR19" si="53">AX14-AL14</f>
        <v>51930</v>
      </c>
      <c r="AS14" s="283">
        <f t="shared" ref="AS14:AS19" si="54">AY14-AM14</f>
        <v>69723</v>
      </c>
      <c r="AT14" s="283">
        <f t="shared" ref="AT14:AT19" si="55">AZ14-AN14</f>
        <v>72996</v>
      </c>
      <c r="AU14" s="122">
        <f t="shared" si="33"/>
        <v>40.6</v>
      </c>
      <c r="AV14" s="283">
        <f t="shared" ref="AV14:AV19" si="56">BB14-AP14</f>
        <v>86002</v>
      </c>
      <c r="AW14" s="122">
        <f t="shared" si="14"/>
        <v>23.3</v>
      </c>
      <c r="AX14" s="601">
        <v>210510</v>
      </c>
      <c r="AY14" s="601">
        <v>293019</v>
      </c>
      <c r="AZ14" s="283">
        <v>254659</v>
      </c>
      <c r="BA14" s="122">
        <f t="shared" si="15"/>
        <v>21</v>
      </c>
      <c r="BB14" s="283">
        <v>324560</v>
      </c>
      <c r="BC14" s="122">
        <f t="shared" si="16"/>
        <v>10.8</v>
      </c>
      <c r="BD14" s="283">
        <f t="shared" ref="BD14:BF19" si="57">BJ14-AX14</f>
        <v>48958</v>
      </c>
      <c r="BE14" s="283">
        <f t="shared" si="57"/>
        <v>58191</v>
      </c>
      <c r="BF14" s="283">
        <f t="shared" si="57"/>
        <v>73796</v>
      </c>
      <c r="BG14" s="122">
        <f t="shared" si="36"/>
        <v>50.7</v>
      </c>
      <c r="BH14" s="283">
        <f t="shared" ref="BH14:BH19" si="58">BN14-BB14</f>
        <v>78702</v>
      </c>
      <c r="BI14" s="122">
        <f t="shared" si="17"/>
        <v>35.200000000000003</v>
      </c>
      <c r="BJ14" s="601">
        <v>259468</v>
      </c>
      <c r="BK14" s="601">
        <v>351210</v>
      </c>
      <c r="BL14" s="283">
        <v>328455</v>
      </c>
      <c r="BM14" s="122">
        <f t="shared" si="18"/>
        <v>26.6</v>
      </c>
      <c r="BN14" s="283">
        <v>403262</v>
      </c>
      <c r="BO14" s="122">
        <f t="shared" si="19"/>
        <v>14.8</v>
      </c>
    </row>
    <row r="15" spans="1:67" ht="21.75" customHeight="1" thickBot="1">
      <c r="A15" s="811"/>
      <c r="B15" s="812"/>
      <c r="C15" s="123" t="s">
        <v>252</v>
      </c>
      <c r="D15" s="124">
        <v>3687127</v>
      </c>
      <c r="E15" s="124">
        <v>5098171</v>
      </c>
      <c r="F15" s="124">
        <v>4428248</v>
      </c>
      <c r="G15" s="124">
        <v>5680329</v>
      </c>
      <c r="H15" s="284">
        <v>4903888</v>
      </c>
      <c r="I15" s="284">
        <v>5791947</v>
      </c>
      <c r="J15" s="602">
        <v>4643144</v>
      </c>
      <c r="K15" s="602">
        <v>5318770</v>
      </c>
      <c r="L15" s="602">
        <v>4826518</v>
      </c>
      <c r="M15" s="602">
        <v>5079186</v>
      </c>
      <c r="N15" s="602">
        <v>350472</v>
      </c>
      <c r="O15" s="602">
        <v>435137</v>
      </c>
      <c r="P15" s="284">
        <v>478744</v>
      </c>
      <c r="Q15" s="125">
        <f t="shared" si="6"/>
        <v>36.6</v>
      </c>
      <c r="R15" s="284">
        <v>592003</v>
      </c>
      <c r="S15" s="125">
        <f t="shared" si="7"/>
        <v>36</v>
      </c>
      <c r="T15" s="284">
        <f t="shared" si="45"/>
        <v>353913</v>
      </c>
      <c r="U15" s="284">
        <f t="shared" si="46"/>
        <v>401948</v>
      </c>
      <c r="V15" s="284">
        <f t="shared" si="47"/>
        <v>496161</v>
      </c>
      <c r="W15" s="125">
        <f t="shared" si="25"/>
        <v>40.200000000000003</v>
      </c>
      <c r="X15" s="284">
        <f t="shared" si="48"/>
        <v>592625</v>
      </c>
      <c r="Y15" s="125">
        <f t="shared" si="8"/>
        <v>47.4</v>
      </c>
      <c r="Z15" s="602">
        <v>704385</v>
      </c>
      <c r="AA15" s="284">
        <v>837085</v>
      </c>
      <c r="AB15" s="602">
        <v>974905</v>
      </c>
      <c r="AC15" s="125">
        <f t="shared" si="9"/>
        <v>38.4</v>
      </c>
      <c r="AD15" s="284">
        <v>1184628</v>
      </c>
      <c r="AE15" s="125">
        <f t="shared" si="10"/>
        <v>41.5</v>
      </c>
      <c r="AF15" s="284">
        <f t="shared" si="49"/>
        <v>365139</v>
      </c>
      <c r="AG15" s="284">
        <f t="shared" si="50"/>
        <v>478485</v>
      </c>
      <c r="AH15" s="284">
        <f t="shared" si="51"/>
        <v>574058</v>
      </c>
      <c r="AI15" s="125">
        <f t="shared" si="30"/>
        <v>57.2</v>
      </c>
      <c r="AJ15" s="284">
        <f t="shared" si="52"/>
        <v>709021</v>
      </c>
      <c r="AK15" s="125">
        <f t="shared" si="11"/>
        <v>48.2</v>
      </c>
      <c r="AL15" s="602">
        <v>1069524</v>
      </c>
      <c r="AM15" s="602">
        <v>1315570</v>
      </c>
      <c r="AN15" s="284">
        <v>1548963</v>
      </c>
      <c r="AO15" s="125">
        <f t="shared" si="12"/>
        <v>44.8</v>
      </c>
      <c r="AP15" s="284">
        <v>1893649</v>
      </c>
      <c r="AQ15" s="125">
        <f t="shared" si="13"/>
        <v>43.9</v>
      </c>
      <c r="AR15" s="284">
        <f t="shared" si="53"/>
        <v>331401</v>
      </c>
      <c r="AS15" s="284">
        <f t="shared" si="54"/>
        <v>389530</v>
      </c>
      <c r="AT15" s="284">
        <f t="shared" si="55"/>
        <v>613845</v>
      </c>
      <c r="AU15" s="125">
        <f t="shared" si="33"/>
        <v>85.2</v>
      </c>
      <c r="AV15" s="284">
        <f t="shared" si="56"/>
        <v>758626</v>
      </c>
      <c r="AW15" s="125">
        <f t="shared" si="14"/>
        <v>94.8</v>
      </c>
      <c r="AX15" s="602">
        <v>1400925</v>
      </c>
      <c r="AY15" s="602">
        <v>1705100</v>
      </c>
      <c r="AZ15" s="284">
        <v>2162808</v>
      </c>
      <c r="BA15" s="125">
        <f t="shared" si="15"/>
        <v>54.4</v>
      </c>
      <c r="BB15" s="284">
        <v>2652275</v>
      </c>
      <c r="BC15" s="125">
        <f t="shared" si="16"/>
        <v>55.5</v>
      </c>
      <c r="BD15" s="284">
        <f t="shared" si="57"/>
        <v>302267</v>
      </c>
      <c r="BE15" s="284">
        <f t="shared" si="57"/>
        <v>340029</v>
      </c>
      <c r="BF15" s="284">
        <f t="shared" si="57"/>
        <v>702452</v>
      </c>
      <c r="BG15" s="125">
        <f t="shared" si="36"/>
        <v>132.4</v>
      </c>
      <c r="BH15" s="284">
        <f t="shared" si="58"/>
        <v>717279</v>
      </c>
      <c r="BI15" s="125">
        <f t="shared" si="17"/>
        <v>110.9</v>
      </c>
      <c r="BJ15" s="602">
        <v>1703192</v>
      </c>
      <c r="BK15" s="602">
        <v>2045129</v>
      </c>
      <c r="BL15" s="284">
        <v>2865260</v>
      </c>
      <c r="BM15" s="125">
        <f t="shared" si="18"/>
        <v>68.2</v>
      </c>
      <c r="BN15" s="284">
        <v>3369554</v>
      </c>
      <c r="BO15" s="125">
        <f t="shared" si="19"/>
        <v>64.8</v>
      </c>
    </row>
    <row r="16" spans="1:67" ht="21.75" customHeight="1" thickTop="1">
      <c r="A16" s="806" t="s">
        <v>256</v>
      </c>
      <c r="B16" s="806" t="s">
        <v>251</v>
      </c>
      <c r="C16" s="126" t="s">
        <v>569</v>
      </c>
      <c r="D16" s="127">
        <v>0</v>
      </c>
      <c r="E16" s="127">
        <v>5270</v>
      </c>
      <c r="F16" s="127">
        <v>0</v>
      </c>
      <c r="G16" s="127">
        <v>5209</v>
      </c>
      <c r="H16" s="285">
        <v>21</v>
      </c>
      <c r="I16" s="285">
        <v>6728</v>
      </c>
      <c r="J16" s="604">
        <v>47</v>
      </c>
      <c r="K16" s="604">
        <v>10412</v>
      </c>
      <c r="L16" s="604">
        <v>0</v>
      </c>
      <c r="M16" s="604">
        <v>3429</v>
      </c>
      <c r="N16" s="604">
        <v>0</v>
      </c>
      <c r="O16" s="604">
        <v>116</v>
      </c>
      <c r="P16" s="285">
        <v>0</v>
      </c>
      <c r="Q16" s="128" t="e">
        <f t="shared" si="6"/>
        <v>#DIV/0!</v>
      </c>
      <c r="R16" s="285">
        <v>342</v>
      </c>
      <c r="S16" s="128">
        <f t="shared" si="7"/>
        <v>194.8</v>
      </c>
      <c r="T16" s="285">
        <f t="shared" si="45"/>
        <v>0</v>
      </c>
      <c r="U16" s="285">
        <f t="shared" si="46"/>
        <v>290</v>
      </c>
      <c r="V16" s="285">
        <f t="shared" si="47"/>
        <v>19</v>
      </c>
      <c r="W16" s="128" t="e">
        <f t="shared" si="25"/>
        <v>#DIV/0!</v>
      </c>
      <c r="X16" s="285">
        <f t="shared" si="48"/>
        <v>85</v>
      </c>
      <c r="Y16" s="128">
        <f t="shared" si="8"/>
        <v>-70.7</v>
      </c>
      <c r="Z16" s="604">
        <v>0</v>
      </c>
      <c r="AA16" s="285">
        <v>406</v>
      </c>
      <c r="AB16" s="604">
        <v>19</v>
      </c>
      <c r="AC16" s="128" t="e">
        <f t="shared" si="9"/>
        <v>#DIV/0!</v>
      </c>
      <c r="AD16" s="285">
        <v>427</v>
      </c>
      <c r="AE16" s="128">
        <f t="shared" si="10"/>
        <v>5.2</v>
      </c>
      <c r="AF16" s="285">
        <f t="shared" si="49"/>
        <v>0</v>
      </c>
      <c r="AG16" s="285">
        <f t="shared" si="50"/>
        <v>252</v>
      </c>
      <c r="AH16" s="285">
        <f t="shared" si="51"/>
        <v>0</v>
      </c>
      <c r="AI16" s="128" t="e">
        <f t="shared" si="30"/>
        <v>#DIV/0!</v>
      </c>
      <c r="AJ16" s="285">
        <f t="shared" si="52"/>
        <v>445</v>
      </c>
      <c r="AK16" s="128">
        <f t="shared" si="11"/>
        <v>76.599999999999994</v>
      </c>
      <c r="AL16" s="604">
        <v>0</v>
      </c>
      <c r="AM16" s="604">
        <v>658</v>
      </c>
      <c r="AN16" s="285">
        <v>19</v>
      </c>
      <c r="AO16" s="128" t="e">
        <f t="shared" si="12"/>
        <v>#DIV/0!</v>
      </c>
      <c r="AP16" s="285">
        <v>872</v>
      </c>
      <c r="AQ16" s="128">
        <f t="shared" si="13"/>
        <v>32.5</v>
      </c>
      <c r="AR16" s="285">
        <f t="shared" si="53"/>
        <v>0</v>
      </c>
      <c r="AS16" s="285">
        <f t="shared" si="54"/>
        <v>537</v>
      </c>
      <c r="AT16" s="285">
        <f t="shared" si="55"/>
        <v>0</v>
      </c>
      <c r="AU16" s="128" t="e">
        <f t="shared" si="33"/>
        <v>#DIV/0!</v>
      </c>
      <c r="AV16" s="285">
        <f t="shared" si="56"/>
        <v>297</v>
      </c>
      <c r="AW16" s="128">
        <f t="shared" si="14"/>
        <v>-44.7</v>
      </c>
      <c r="AX16" s="604">
        <v>0</v>
      </c>
      <c r="AY16" s="604">
        <v>1195</v>
      </c>
      <c r="AZ16" s="285">
        <v>19</v>
      </c>
      <c r="BA16" s="128" t="e">
        <f t="shared" si="15"/>
        <v>#DIV/0!</v>
      </c>
      <c r="BB16" s="285">
        <v>1169</v>
      </c>
      <c r="BC16" s="128">
        <f t="shared" si="16"/>
        <v>-2.2000000000000002</v>
      </c>
      <c r="BD16" s="285">
        <f t="shared" si="57"/>
        <v>0</v>
      </c>
      <c r="BE16" s="285">
        <f t="shared" si="57"/>
        <v>263</v>
      </c>
      <c r="BF16" s="285">
        <f t="shared" si="57"/>
        <v>0</v>
      </c>
      <c r="BG16" s="128" t="e">
        <f t="shared" si="36"/>
        <v>#DIV/0!</v>
      </c>
      <c r="BH16" s="285">
        <f t="shared" si="58"/>
        <v>329</v>
      </c>
      <c r="BI16" s="128">
        <f t="shared" si="17"/>
        <v>25.1</v>
      </c>
      <c r="BJ16" s="604">
        <v>0</v>
      </c>
      <c r="BK16" s="604">
        <v>1458</v>
      </c>
      <c r="BL16" s="285">
        <v>19</v>
      </c>
      <c r="BM16" s="128" t="e">
        <f t="shared" si="18"/>
        <v>#DIV/0!</v>
      </c>
      <c r="BN16" s="285">
        <v>1498</v>
      </c>
      <c r="BO16" s="128">
        <f t="shared" si="19"/>
        <v>2.7</v>
      </c>
    </row>
    <row r="17" spans="1:67" ht="21.75" customHeight="1">
      <c r="A17" s="805"/>
      <c r="B17" s="805"/>
      <c r="C17" s="117" t="s">
        <v>252</v>
      </c>
      <c r="D17" s="118">
        <v>0</v>
      </c>
      <c r="E17" s="118">
        <v>11062</v>
      </c>
      <c r="F17" s="118">
        <v>0</v>
      </c>
      <c r="G17" s="118">
        <v>13408</v>
      </c>
      <c r="H17" s="282">
        <v>81</v>
      </c>
      <c r="I17" s="282">
        <v>14949</v>
      </c>
      <c r="J17" s="603">
        <v>71</v>
      </c>
      <c r="K17" s="603">
        <v>17162</v>
      </c>
      <c r="L17" s="603">
        <v>0</v>
      </c>
      <c r="M17" s="603">
        <v>7634</v>
      </c>
      <c r="N17" s="603">
        <v>0</v>
      </c>
      <c r="O17" s="603">
        <v>211</v>
      </c>
      <c r="P17" s="282">
        <v>0</v>
      </c>
      <c r="Q17" s="119" t="e">
        <f t="shared" si="6"/>
        <v>#DIV/0!</v>
      </c>
      <c r="R17" s="282">
        <v>955</v>
      </c>
      <c r="S17" s="119">
        <f t="shared" si="7"/>
        <v>352.6</v>
      </c>
      <c r="T17" s="282">
        <f t="shared" si="45"/>
        <v>0</v>
      </c>
      <c r="U17" s="282">
        <f t="shared" si="46"/>
        <v>750</v>
      </c>
      <c r="V17" s="282">
        <f t="shared" si="47"/>
        <v>31</v>
      </c>
      <c r="W17" s="119" t="e">
        <f t="shared" si="25"/>
        <v>#DIV/0!</v>
      </c>
      <c r="X17" s="282">
        <f t="shared" si="48"/>
        <v>161</v>
      </c>
      <c r="Y17" s="119">
        <f t="shared" si="8"/>
        <v>-78.5</v>
      </c>
      <c r="Z17" s="603">
        <v>0</v>
      </c>
      <c r="AA17" s="282">
        <v>961</v>
      </c>
      <c r="AB17" s="603">
        <v>31</v>
      </c>
      <c r="AC17" s="119" t="e">
        <f t="shared" si="9"/>
        <v>#DIV/0!</v>
      </c>
      <c r="AD17" s="282">
        <v>1116</v>
      </c>
      <c r="AE17" s="119">
        <f t="shared" si="10"/>
        <v>16.100000000000001</v>
      </c>
      <c r="AF17" s="282">
        <f t="shared" si="49"/>
        <v>0</v>
      </c>
      <c r="AG17" s="282">
        <f t="shared" si="50"/>
        <v>315</v>
      </c>
      <c r="AH17" s="282">
        <f t="shared" si="51"/>
        <v>0</v>
      </c>
      <c r="AI17" s="119" t="e">
        <f t="shared" si="30"/>
        <v>#DIV/0!</v>
      </c>
      <c r="AJ17" s="282">
        <f t="shared" si="52"/>
        <v>1163</v>
      </c>
      <c r="AK17" s="119">
        <f t="shared" si="11"/>
        <v>269.2</v>
      </c>
      <c r="AL17" s="603">
        <v>0</v>
      </c>
      <c r="AM17" s="603">
        <v>1276</v>
      </c>
      <c r="AN17" s="282">
        <v>31</v>
      </c>
      <c r="AO17" s="119" t="e">
        <f t="shared" si="12"/>
        <v>#DIV/0!</v>
      </c>
      <c r="AP17" s="282">
        <v>2279</v>
      </c>
      <c r="AQ17" s="119">
        <f t="shared" si="13"/>
        <v>78.599999999999994</v>
      </c>
      <c r="AR17" s="282">
        <f t="shared" si="53"/>
        <v>0</v>
      </c>
      <c r="AS17" s="282">
        <f t="shared" si="54"/>
        <v>1433</v>
      </c>
      <c r="AT17" s="282">
        <f t="shared" si="55"/>
        <v>0</v>
      </c>
      <c r="AU17" s="119" t="e">
        <f t="shared" si="33"/>
        <v>#DIV/0!</v>
      </c>
      <c r="AV17" s="282">
        <f t="shared" si="56"/>
        <v>903</v>
      </c>
      <c r="AW17" s="119">
        <f t="shared" si="14"/>
        <v>-37</v>
      </c>
      <c r="AX17" s="603">
        <v>0</v>
      </c>
      <c r="AY17" s="603">
        <v>2709</v>
      </c>
      <c r="AZ17" s="282">
        <v>31</v>
      </c>
      <c r="BA17" s="119" t="e">
        <f t="shared" si="15"/>
        <v>#DIV/0!</v>
      </c>
      <c r="BB17" s="282">
        <v>3182</v>
      </c>
      <c r="BC17" s="119">
        <f t="shared" si="16"/>
        <v>17.5</v>
      </c>
      <c r="BD17" s="282">
        <f t="shared" si="57"/>
        <v>0</v>
      </c>
      <c r="BE17" s="282">
        <f t="shared" si="57"/>
        <v>412</v>
      </c>
      <c r="BF17" s="282">
        <f t="shared" si="57"/>
        <v>0</v>
      </c>
      <c r="BG17" s="119" t="e">
        <f t="shared" si="36"/>
        <v>#DIV/0!</v>
      </c>
      <c r="BH17" s="282">
        <f t="shared" si="58"/>
        <v>953</v>
      </c>
      <c r="BI17" s="119">
        <f t="shared" si="17"/>
        <v>131.30000000000001</v>
      </c>
      <c r="BJ17" s="603">
        <v>0</v>
      </c>
      <c r="BK17" s="603">
        <v>3121</v>
      </c>
      <c r="BL17" s="282">
        <v>31</v>
      </c>
      <c r="BM17" s="119" t="e">
        <f t="shared" si="18"/>
        <v>#DIV/0!</v>
      </c>
      <c r="BN17" s="282">
        <v>4135</v>
      </c>
      <c r="BO17" s="119">
        <f t="shared" si="19"/>
        <v>32.5</v>
      </c>
    </row>
    <row r="18" spans="1:67" ht="21.75" customHeight="1">
      <c r="A18" s="805"/>
      <c r="B18" s="805" t="s">
        <v>253</v>
      </c>
      <c r="C18" s="114" t="s">
        <v>569</v>
      </c>
      <c r="D18" s="115">
        <v>380255</v>
      </c>
      <c r="E18" s="115">
        <f>133729.75-477.656</f>
        <v>133252.09400000001</v>
      </c>
      <c r="F18" s="115">
        <v>338933</v>
      </c>
      <c r="G18" s="115">
        <v>129570</v>
      </c>
      <c r="H18" s="281">
        <v>353256</v>
      </c>
      <c r="I18" s="281">
        <v>143766</v>
      </c>
      <c r="J18" s="597">
        <v>350431</v>
      </c>
      <c r="K18" s="599">
        <v>124960</v>
      </c>
      <c r="L18" s="599">
        <v>326775</v>
      </c>
      <c r="M18" s="599">
        <v>139459</v>
      </c>
      <c r="N18" s="599">
        <v>35142</v>
      </c>
      <c r="O18" s="599">
        <v>10846</v>
      </c>
      <c r="P18" s="281">
        <v>21845</v>
      </c>
      <c r="Q18" s="116">
        <f t="shared" si="6"/>
        <v>-37.799999999999997</v>
      </c>
      <c r="R18" s="281">
        <v>13058</v>
      </c>
      <c r="S18" s="116">
        <f t="shared" si="7"/>
        <v>20.399999999999999</v>
      </c>
      <c r="T18" s="281">
        <f t="shared" si="45"/>
        <v>24520</v>
      </c>
      <c r="U18" s="281">
        <f t="shared" si="46"/>
        <v>7508</v>
      </c>
      <c r="V18" s="281">
        <f t="shared" si="47"/>
        <v>29683</v>
      </c>
      <c r="W18" s="116">
        <f t="shared" si="25"/>
        <v>21.1</v>
      </c>
      <c r="X18" s="281">
        <f t="shared" si="48"/>
        <v>10020</v>
      </c>
      <c r="Y18" s="116">
        <f t="shared" si="8"/>
        <v>33.5</v>
      </c>
      <c r="Z18" s="599">
        <v>59662</v>
      </c>
      <c r="AA18" s="281">
        <v>18354</v>
      </c>
      <c r="AB18" s="599">
        <v>51528</v>
      </c>
      <c r="AC18" s="116">
        <f t="shared" si="9"/>
        <v>-13.6</v>
      </c>
      <c r="AD18" s="281">
        <v>23078</v>
      </c>
      <c r="AE18" s="116">
        <f t="shared" si="10"/>
        <v>25.7</v>
      </c>
      <c r="AF18" s="281">
        <f t="shared" si="49"/>
        <v>29977</v>
      </c>
      <c r="AG18" s="281">
        <f t="shared" si="50"/>
        <v>10479</v>
      </c>
      <c r="AH18" s="281">
        <f t="shared" si="51"/>
        <v>19782</v>
      </c>
      <c r="AI18" s="116">
        <f t="shared" si="30"/>
        <v>-34</v>
      </c>
      <c r="AJ18" s="281">
        <f t="shared" si="52"/>
        <v>17020</v>
      </c>
      <c r="AK18" s="116">
        <f t="shared" si="11"/>
        <v>62.4</v>
      </c>
      <c r="AL18" s="599">
        <v>89639</v>
      </c>
      <c r="AM18" s="599">
        <v>28833</v>
      </c>
      <c r="AN18" s="281">
        <v>71310</v>
      </c>
      <c r="AO18" s="116">
        <f t="shared" si="12"/>
        <v>-20.399999999999999</v>
      </c>
      <c r="AP18" s="281">
        <v>40098</v>
      </c>
      <c r="AQ18" s="116">
        <f t="shared" si="13"/>
        <v>39.1</v>
      </c>
      <c r="AR18" s="281">
        <f t="shared" si="53"/>
        <v>29045</v>
      </c>
      <c r="AS18" s="281">
        <f t="shared" si="54"/>
        <v>8926</v>
      </c>
      <c r="AT18" s="281">
        <f t="shared" si="55"/>
        <v>36763</v>
      </c>
      <c r="AU18" s="116">
        <f t="shared" si="33"/>
        <v>26.6</v>
      </c>
      <c r="AV18" s="281">
        <f t="shared" si="56"/>
        <v>15202</v>
      </c>
      <c r="AW18" s="116">
        <f t="shared" si="14"/>
        <v>70.3</v>
      </c>
      <c r="AX18" s="599">
        <v>118684</v>
      </c>
      <c r="AY18" s="599">
        <v>37759</v>
      </c>
      <c r="AZ18" s="281">
        <v>108073</v>
      </c>
      <c r="BA18" s="116">
        <f t="shared" si="15"/>
        <v>-8.9</v>
      </c>
      <c r="BB18" s="281">
        <v>55300</v>
      </c>
      <c r="BC18" s="116">
        <f t="shared" si="16"/>
        <v>46.5</v>
      </c>
      <c r="BD18" s="281">
        <f t="shared" si="57"/>
        <v>19351</v>
      </c>
      <c r="BE18" s="281">
        <f t="shared" si="57"/>
        <v>7559</v>
      </c>
      <c r="BF18" s="281">
        <f t="shared" si="57"/>
        <v>26569</v>
      </c>
      <c r="BG18" s="116">
        <f t="shared" si="36"/>
        <v>37.299999999999997</v>
      </c>
      <c r="BH18" s="281">
        <f t="shared" si="58"/>
        <v>12738</v>
      </c>
      <c r="BI18" s="116">
        <f t="shared" si="17"/>
        <v>68.5</v>
      </c>
      <c r="BJ18" s="599">
        <v>138035</v>
      </c>
      <c r="BK18" s="599">
        <v>45318</v>
      </c>
      <c r="BL18" s="281">
        <v>134642</v>
      </c>
      <c r="BM18" s="116">
        <f t="shared" si="18"/>
        <v>-2.5</v>
      </c>
      <c r="BN18" s="281">
        <v>68038</v>
      </c>
      <c r="BO18" s="116">
        <f t="shared" si="19"/>
        <v>50.1</v>
      </c>
    </row>
    <row r="19" spans="1:67" ht="21.75" customHeight="1">
      <c r="A19" s="805"/>
      <c r="B19" s="805"/>
      <c r="C19" s="117" t="s">
        <v>252</v>
      </c>
      <c r="D19" s="118">
        <v>760565</v>
      </c>
      <c r="E19" s="118">
        <v>245225</v>
      </c>
      <c r="F19" s="118">
        <v>830697</v>
      </c>
      <c r="G19" s="118">
        <v>298089</v>
      </c>
      <c r="H19" s="282">
        <v>858395</v>
      </c>
      <c r="I19" s="282">
        <v>340225</v>
      </c>
      <c r="J19" s="598">
        <v>755861</v>
      </c>
      <c r="K19" s="603">
        <v>258215</v>
      </c>
      <c r="L19" s="603">
        <v>649736</v>
      </c>
      <c r="M19" s="603">
        <v>264554</v>
      </c>
      <c r="N19" s="603">
        <v>73107</v>
      </c>
      <c r="O19" s="603">
        <v>22501</v>
      </c>
      <c r="P19" s="282">
        <v>47196</v>
      </c>
      <c r="Q19" s="119">
        <f t="shared" si="6"/>
        <v>-35.4</v>
      </c>
      <c r="R19" s="282">
        <v>26464</v>
      </c>
      <c r="S19" s="119">
        <f t="shared" si="7"/>
        <v>17.600000000000001</v>
      </c>
      <c r="T19" s="282">
        <f t="shared" si="45"/>
        <v>50708</v>
      </c>
      <c r="U19" s="282">
        <f t="shared" si="46"/>
        <v>6643</v>
      </c>
      <c r="V19" s="282">
        <f t="shared" si="47"/>
        <v>64931</v>
      </c>
      <c r="W19" s="119">
        <f t="shared" si="25"/>
        <v>28</v>
      </c>
      <c r="X19" s="282">
        <f t="shared" si="48"/>
        <v>20127</v>
      </c>
      <c r="Y19" s="119">
        <f t="shared" si="8"/>
        <v>203</v>
      </c>
      <c r="Z19" s="603">
        <v>123815</v>
      </c>
      <c r="AA19" s="282">
        <v>29144</v>
      </c>
      <c r="AB19" s="603">
        <v>112127</v>
      </c>
      <c r="AC19" s="119">
        <f t="shared" si="9"/>
        <v>-9.4</v>
      </c>
      <c r="AD19" s="282">
        <v>46591</v>
      </c>
      <c r="AE19" s="119">
        <f t="shared" si="10"/>
        <v>59.9</v>
      </c>
      <c r="AF19" s="282">
        <f t="shared" si="49"/>
        <v>59301</v>
      </c>
      <c r="AG19" s="282">
        <f t="shared" si="50"/>
        <v>29142</v>
      </c>
      <c r="AH19" s="282">
        <f t="shared" si="51"/>
        <v>44240</v>
      </c>
      <c r="AI19" s="119">
        <f t="shared" si="30"/>
        <v>-25.4</v>
      </c>
      <c r="AJ19" s="282">
        <f t="shared" si="52"/>
        <v>35326</v>
      </c>
      <c r="AK19" s="119">
        <f t="shared" si="11"/>
        <v>21.2</v>
      </c>
      <c r="AL19" s="603">
        <v>183116</v>
      </c>
      <c r="AM19" s="603">
        <v>58286</v>
      </c>
      <c r="AN19" s="282">
        <v>156367</v>
      </c>
      <c r="AO19" s="119">
        <f t="shared" si="12"/>
        <v>-14.6</v>
      </c>
      <c r="AP19" s="282">
        <v>81917</v>
      </c>
      <c r="AQ19" s="119">
        <f t="shared" si="13"/>
        <v>40.5</v>
      </c>
      <c r="AR19" s="282">
        <f t="shared" si="53"/>
        <v>53430</v>
      </c>
      <c r="AS19" s="282">
        <f t="shared" si="54"/>
        <v>16420</v>
      </c>
      <c r="AT19" s="282">
        <f t="shared" si="55"/>
        <v>79154</v>
      </c>
      <c r="AU19" s="119">
        <f t="shared" si="33"/>
        <v>48.1</v>
      </c>
      <c r="AV19" s="282">
        <f t="shared" si="56"/>
        <v>31004</v>
      </c>
      <c r="AW19" s="119">
        <f t="shared" si="14"/>
        <v>88.8</v>
      </c>
      <c r="AX19" s="603">
        <v>236546</v>
      </c>
      <c r="AY19" s="603">
        <v>74706</v>
      </c>
      <c r="AZ19" s="282">
        <v>235521</v>
      </c>
      <c r="BA19" s="119">
        <f t="shared" si="15"/>
        <v>-0.4</v>
      </c>
      <c r="BB19" s="282">
        <v>112921</v>
      </c>
      <c r="BC19" s="119">
        <f t="shared" si="16"/>
        <v>51.2</v>
      </c>
      <c r="BD19" s="282">
        <f t="shared" si="57"/>
        <v>35233</v>
      </c>
      <c r="BE19" s="282">
        <f t="shared" si="57"/>
        <v>13722</v>
      </c>
      <c r="BF19" s="282">
        <f t="shared" si="57"/>
        <v>60468</v>
      </c>
      <c r="BG19" s="119">
        <f t="shared" si="36"/>
        <v>71.599999999999994</v>
      </c>
      <c r="BH19" s="282">
        <f t="shared" si="58"/>
        <v>26187</v>
      </c>
      <c r="BI19" s="119">
        <f t="shared" si="17"/>
        <v>90.8</v>
      </c>
      <c r="BJ19" s="603">
        <v>271779</v>
      </c>
      <c r="BK19" s="603">
        <v>88428</v>
      </c>
      <c r="BL19" s="282">
        <v>295989</v>
      </c>
      <c r="BM19" s="119">
        <f t="shared" si="18"/>
        <v>8.9</v>
      </c>
      <c r="BN19" s="282">
        <v>139108</v>
      </c>
      <c r="BO19" s="119">
        <f t="shared" si="19"/>
        <v>57.3</v>
      </c>
    </row>
    <row r="20" spans="1:67" ht="21.75" customHeight="1">
      <c r="A20" s="805"/>
      <c r="B20" s="809" t="s">
        <v>254</v>
      </c>
      <c r="C20" s="114" t="s">
        <v>569</v>
      </c>
      <c r="D20" s="115">
        <f t="shared" ref="D20:F21" si="59">D22-D16-D18</f>
        <v>4925</v>
      </c>
      <c r="E20" s="115">
        <f>E22-E16-E18</f>
        <v>15211.905999999988</v>
      </c>
      <c r="F20" s="115">
        <f t="shared" si="59"/>
        <v>5005</v>
      </c>
      <c r="G20" s="115">
        <f t="shared" ref="G20:J21" si="60">G22-G16-G18</f>
        <v>19575</v>
      </c>
      <c r="H20" s="281">
        <f t="shared" si="60"/>
        <v>4393</v>
      </c>
      <c r="I20" s="281">
        <f t="shared" si="60"/>
        <v>16692</v>
      </c>
      <c r="J20" s="599">
        <f t="shared" si="60"/>
        <v>4176</v>
      </c>
      <c r="K20" s="599">
        <f>K22-K16-K18</f>
        <v>16101</v>
      </c>
      <c r="L20" s="599">
        <f t="shared" ref="L20" si="61">L22-L16-L18</f>
        <v>3763</v>
      </c>
      <c r="M20" s="599">
        <f>M22-M16-M18</f>
        <v>11598</v>
      </c>
      <c r="N20" s="599">
        <f t="shared" ref="N20" si="62">N22-N16-N18</f>
        <v>346</v>
      </c>
      <c r="O20" s="599">
        <f>O22-O16-O18</f>
        <v>1547</v>
      </c>
      <c r="P20" s="599">
        <f>P22-P16-P18</f>
        <v>288</v>
      </c>
      <c r="Q20" s="116">
        <f t="shared" si="6"/>
        <v>-16.8</v>
      </c>
      <c r="R20" s="599">
        <f>R22-R16-R18</f>
        <v>341</v>
      </c>
      <c r="S20" s="116">
        <f t="shared" si="7"/>
        <v>-78</v>
      </c>
      <c r="T20" s="281">
        <f t="shared" ref="T20:V21" si="63">T22-T16-T18</f>
        <v>143</v>
      </c>
      <c r="U20" s="281">
        <f t="shared" si="63"/>
        <v>1443</v>
      </c>
      <c r="V20" s="281">
        <f t="shared" si="63"/>
        <v>340</v>
      </c>
      <c r="W20" s="116">
        <f t="shared" si="25"/>
        <v>137.80000000000001</v>
      </c>
      <c r="X20" s="281">
        <f>X22-X16-X18</f>
        <v>122</v>
      </c>
      <c r="Y20" s="116">
        <f t="shared" si="8"/>
        <v>-91.5</v>
      </c>
      <c r="Z20" s="599">
        <f t="shared" ref="Z20" si="64">Z22-Z16-Z18</f>
        <v>489</v>
      </c>
      <c r="AA20" s="281">
        <f t="shared" ref="AA20:AB21" si="65">AA22-AA16-AA18</f>
        <v>2990</v>
      </c>
      <c r="AB20" s="599">
        <f t="shared" si="65"/>
        <v>628</v>
      </c>
      <c r="AC20" s="116">
        <f t="shared" si="9"/>
        <v>28.4</v>
      </c>
      <c r="AD20" s="599">
        <f t="shared" ref="AD20" si="66">AD22-AD16-AD18</f>
        <v>463</v>
      </c>
      <c r="AE20" s="116">
        <f t="shared" si="10"/>
        <v>-84.5</v>
      </c>
      <c r="AF20" s="281">
        <f t="shared" ref="AF20:AH21" si="67">AF22-AF16-AF18</f>
        <v>432</v>
      </c>
      <c r="AG20" s="281">
        <f t="shared" si="67"/>
        <v>1400</v>
      </c>
      <c r="AH20" s="281">
        <f t="shared" si="67"/>
        <v>168</v>
      </c>
      <c r="AI20" s="116">
        <f t="shared" si="30"/>
        <v>-61.1</v>
      </c>
      <c r="AJ20" s="281">
        <f>AJ22-AJ16-AJ18</f>
        <v>1200</v>
      </c>
      <c r="AK20" s="116">
        <f t="shared" si="11"/>
        <v>-14.3</v>
      </c>
      <c r="AL20" s="599">
        <f t="shared" ref="AL20" si="68">AL22-AL16-AL18</f>
        <v>921</v>
      </c>
      <c r="AM20" s="599">
        <f>AM22-AM16-AM18</f>
        <v>4390</v>
      </c>
      <c r="AN20" s="599">
        <f>AN22-AN16-AN18</f>
        <v>796</v>
      </c>
      <c r="AO20" s="116">
        <f t="shared" si="12"/>
        <v>-13.6</v>
      </c>
      <c r="AP20" s="599">
        <f>AP22-AP16-AP18</f>
        <v>1663</v>
      </c>
      <c r="AQ20" s="116">
        <f t="shared" si="13"/>
        <v>-62.1</v>
      </c>
      <c r="AR20" s="281">
        <f t="shared" ref="AR20:AT20" si="69">AR22-AR16-AR18</f>
        <v>427</v>
      </c>
      <c r="AS20" s="281">
        <f t="shared" si="69"/>
        <v>834</v>
      </c>
      <c r="AT20" s="281">
        <f t="shared" si="69"/>
        <v>135</v>
      </c>
      <c r="AU20" s="116">
        <f t="shared" si="33"/>
        <v>-68.400000000000006</v>
      </c>
      <c r="AV20" s="281">
        <f>AV22-AV16-AV18</f>
        <v>1097</v>
      </c>
      <c r="AW20" s="116">
        <f t="shared" si="14"/>
        <v>31.5</v>
      </c>
      <c r="AX20" s="599">
        <f t="shared" ref="AX20" si="70">AX22-AX16-AX18</f>
        <v>1348</v>
      </c>
      <c r="AY20" s="599">
        <f>AY22-AY16-AY18</f>
        <v>5224</v>
      </c>
      <c r="AZ20" s="599">
        <f>AZ22-AZ16-AZ18</f>
        <v>931</v>
      </c>
      <c r="BA20" s="116">
        <f t="shared" si="15"/>
        <v>-30.9</v>
      </c>
      <c r="BB20" s="599">
        <f>BB22-BB16-BB18</f>
        <v>2760</v>
      </c>
      <c r="BC20" s="116">
        <f t="shared" si="16"/>
        <v>-47.2</v>
      </c>
      <c r="BD20" s="281">
        <f t="shared" ref="BD20:BF21" si="71">BD22-BD16-BD18</f>
        <v>275</v>
      </c>
      <c r="BE20" s="281">
        <f t="shared" si="71"/>
        <v>1169</v>
      </c>
      <c r="BF20" s="281">
        <f t="shared" si="71"/>
        <v>112</v>
      </c>
      <c r="BG20" s="116">
        <f t="shared" si="36"/>
        <v>-59.3</v>
      </c>
      <c r="BH20" s="281">
        <f>BH22-BH16-BH18</f>
        <v>1026</v>
      </c>
      <c r="BI20" s="116">
        <f t="shared" si="17"/>
        <v>-12.2</v>
      </c>
      <c r="BJ20" s="599">
        <f t="shared" ref="BJ20:BJ21" si="72">BJ22-BJ16-BJ18</f>
        <v>1623</v>
      </c>
      <c r="BK20" s="599">
        <f>BK22-BK16-BK18</f>
        <v>6393</v>
      </c>
      <c r="BL20" s="599">
        <f>BL22-BL16-BL18</f>
        <v>1043</v>
      </c>
      <c r="BM20" s="116">
        <f t="shared" si="18"/>
        <v>-35.700000000000003</v>
      </c>
      <c r="BN20" s="599">
        <f>BN22-BN16-BN18</f>
        <v>3786</v>
      </c>
      <c r="BO20" s="116">
        <f t="shared" si="19"/>
        <v>-40.799999999999997</v>
      </c>
    </row>
    <row r="21" spans="1:67" ht="21.75" customHeight="1">
      <c r="A21" s="805"/>
      <c r="B21" s="805"/>
      <c r="C21" s="117" t="s">
        <v>252</v>
      </c>
      <c r="D21" s="118">
        <f t="shared" si="59"/>
        <v>16946</v>
      </c>
      <c r="E21" s="118">
        <f>E23-E17-E19</f>
        <v>24002</v>
      </c>
      <c r="F21" s="118">
        <f t="shared" si="59"/>
        <v>17666</v>
      </c>
      <c r="G21" s="118">
        <f t="shared" si="60"/>
        <v>38651</v>
      </c>
      <c r="H21" s="282">
        <f t="shared" si="60"/>
        <v>19303</v>
      </c>
      <c r="I21" s="282">
        <f t="shared" si="60"/>
        <v>34199</v>
      </c>
      <c r="J21" s="603">
        <f t="shared" si="60"/>
        <v>19207</v>
      </c>
      <c r="K21" s="603">
        <f>K23-K17-K19</f>
        <v>30858</v>
      </c>
      <c r="L21" s="603">
        <f t="shared" ref="L21" si="73">L23-L17-L19</f>
        <v>19466</v>
      </c>
      <c r="M21" s="603">
        <f>M23-M17-M19</f>
        <v>23685</v>
      </c>
      <c r="N21" s="603">
        <f t="shared" ref="N21" si="74">N23-N17-N19</f>
        <v>1716</v>
      </c>
      <c r="O21" s="603">
        <f>O23-O17-O19</f>
        <v>3098</v>
      </c>
      <c r="P21" s="603">
        <f>P23-P17-P19</f>
        <v>1910</v>
      </c>
      <c r="Q21" s="119">
        <f t="shared" si="6"/>
        <v>11.3</v>
      </c>
      <c r="R21" s="603">
        <f>R23-R17-R19</f>
        <v>907</v>
      </c>
      <c r="S21" s="119">
        <f t="shared" si="7"/>
        <v>-70.7</v>
      </c>
      <c r="T21" s="282">
        <f t="shared" si="63"/>
        <v>649</v>
      </c>
      <c r="U21" s="282">
        <f t="shared" si="63"/>
        <v>11358</v>
      </c>
      <c r="V21" s="282">
        <f t="shared" si="63"/>
        <v>966</v>
      </c>
      <c r="W21" s="119">
        <f t="shared" si="25"/>
        <v>48.8</v>
      </c>
      <c r="X21" s="282">
        <f>X23-X17-X19</f>
        <v>393</v>
      </c>
      <c r="Y21" s="119">
        <f t="shared" si="8"/>
        <v>-96.5</v>
      </c>
      <c r="Z21" s="603">
        <f t="shared" ref="Z21" si="75">Z23-Z17-Z19</f>
        <v>2365</v>
      </c>
      <c r="AA21" s="282">
        <f t="shared" si="65"/>
        <v>14456</v>
      </c>
      <c r="AB21" s="603">
        <f t="shared" si="65"/>
        <v>2876</v>
      </c>
      <c r="AC21" s="119">
        <f t="shared" si="9"/>
        <v>21.6</v>
      </c>
      <c r="AD21" s="603">
        <f t="shared" ref="AD21" si="76">AD23-AD17-AD19</f>
        <v>1300</v>
      </c>
      <c r="AE21" s="119">
        <f t="shared" si="10"/>
        <v>-91</v>
      </c>
      <c r="AF21" s="282">
        <f t="shared" si="67"/>
        <v>2211</v>
      </c>
      <c r="AG21" s="282">
        <f t="shared" si="67"/>
        <v>-5479</v>
      </c>
      <c r="AH21" s="282">
        <f t="shared" si="67"/>
        <v>773</v>
      </c>
      <c r="AI21" s="119">
        <f t="shared" si="30"/>
        <v>-65</v>
      </c>
      <c r="AJ21" s="282">
        <f>AJ23-AJ17-AJ19</f>
        <v>2216</v>
      </c>
      <c r="AK21" s="119">
        <f t="shared" si="11"/>
        <v>-140.4</v>
      </c>
      <c r="AL21" s="603">
        <f t="shared" ref="AL21" si="77">AL23-AL17-AL19</f>
        <v>4576</v>
      </c>
      <c r="AM21" s="603">
        <f>AM23-AM17-AM19</f>
        <v>8977</v>
      </c>
      <c r="AN21" s="603">
        <f>AN23-AN17-AN19</f>
        <v>3649</v>
      </c>
      <c r="AO21" s="119">
        <f t="shared" si="12"/>
        <v>-20.3</v>
      </c>
      <c r="AP21" s="603">
        <f>AP23-AP17-AP19</f>
        <v>3516</v>
      </c>
      <c r="AQ21" s="119">
        <f t="shared" si="13"/>
        <v>-60.8</v>
      </c>
      <c r="AR21" s="282">
        <f t="shared" ref="AR21:AT21" si="78">AR23-AR17-AR19</f>
        <v>1946</v>
      </c>
      <c r="AS21" s="282">
        <f t="shared" si="78"/>
        <v>1429</v>
      </c>
      <c r="AT21" s="282">
        <f t="shared" si="78"/>
        <v>805</v>
      </c>
      <c r="AU21" s="119">
        <f t="shared" si="33"/>
        <v>-58.6</v>
      </c>
      <c r="AV21" s="282">
        <f>AV23-AV17-AV19</f>
        <v>2165</v>
      </c>
      <c r="AW21" s="119">
        <f t="shared" si="14"/>
        <v>51.5</v>
      </c>
      <c r="AX21" s="603">
        <f t="shared" ref="AX21" si="79">AX23-AX17-AX19</f>
        <v>6522</v>
      </c>
      <c r="AY21" s="603">
        <f>AY23-AY17-AY19</f>
        <v>10406</v>
      </c>
      <c r="AZ21" s="603">
        <f>AZ23-AZ17-AZ19</f>
        <v>4454</v>
      </c>
      <c r="BA21" s="119">
        <f t="shared" si="15"/>
        <v>-31.7</v>
      </c>
      <c r="BB21" s="603">
        <f>BB23-BB17-BB19</f>
        <v>5681</v>
      </c>
      <c r="BC21" s="119">
        <f t="shared" si="16"/>
        <v>-45.4</v>
      </c>
      <c r="BD21" s="282">
        <f t="shared" si="71"/>
        <v>1222</v>
      </c>
      <c r="BE21" s="282">
        <f t="shared" si="71"/>
        <v>2094</v>
      </c>
      <c r="BF21" s="282">
        <f t="shared" si="71"/>
        <v>704</v>
      </c>
      <c r="BG21" s="119">
        <f t="shared" si="36"/>
        <v>-42.4</v>
      </c>
      <c r="BH21" s="282">
        <f>BH23-BH17-BH19</f>
        <v>2086</v>
      </c>
      <c r="BI21" s="119">
        <f t="shared" si="17"/>
        <v>-0.4</v>
      </c>
      <c r="BJ21" s="603">
        <f t="shared" si="72"/>
        <v>7744</v>
      </c>
      <c r="BK21" s="603">
        <f>BK23-BK17-BK19</f>
        <v>12500</v>
      </c>
      <c r="BL21" s="603">
        <f>BL23-BL17-BL19</f>
        <v>5158</v>
      </c>
      <c r="BM21" s="119">
        <f t="shared" si="18"/>
        <v>-33.4</v>
      </c>
      <c r="BN21" s="603">
        <f>BN23-BN17-BN19</f>
        <v>7767</v>
      </c>
      <c r="BO21" s="119">
        <f t="shared" si="19"/>
        <v>-37.9</v>
      </c>
    </row>
    <row r="22" spans="1:67" ht="21.75" customHeight="1">
      <c r="A22" s="805"/>
      <c r="B22" s="810" t="s">
        <v>255</v>
      </c>
      <c r="C22" s="120" t="s">
        <v>569</v>
      </c>
      <c r="D22" s="121">
        <v>385180</v>
      </c>
      <c r="E22" s="121">
        <v>153734</v>
      </c>
      <c r="F22" s="121">
        <v>343938</v>
      </c>
      <c r="G22" s="121">
        <v>154354</v>
      </c>
      <c r="H22" s="283">
        <v>357670</v>
      </c>
      <c r="I22" s="283">
        <v>167186</v>
      </c>
      <c r="J22" s="601">
        <v>354654</v>
      </c>
      <c r="K22" s="521">
        <v>151473</v>
      </c>
      <c r="L22" s="601">
        <v>330538</v>
      </c>
      <c r="M22" s="601">
        <v>154486</v>
      </c>
      <c r="N22" s="601">
        <v>35488</v>
      </c>
      <c r="O22" s="601">
        <v>12509</v>
      </c>
      <c r="P22" s="283">
        <v>22133</v>
      </c>
      <c r="Q22" s="122">
        <f t="shared" si="6"/>
        <v>-37.6</v>
      </c>
      <c r="R22" s="283">
        <v>13741</v>
      </c>
      <c r="S22" s="122">
        <f t="shared" si="7"/>
        <v>9.8000000000000007</v>
      </c>
      <c r="T22" s="283">
        <f t="shared" ref="T22:T27" si="80">Z22-N22</f>
        <v>24663</v>
      </c>
      <c r="U22" s="283">
        <f t="shared" ref="U22:U27" si="81">AA22-O22</f>
        <v>9241</v>
      </c>
      <c r="V22" s="283">
        <f t="shared" ref="V22:V27" si="82">AB22-P22</f>
        <v>30042</v>
      </c>
      <c r="W22" s="122">
        <f t="shared" si="25"/>
        <v>21.8</v>
      </c>
      <c r="X22" s="283">
        <f t="shared" ref="X22:X27" si="83">AD22-R22</f>
        <v>10227</v>
      </c>
      <c r="Y22" s="122">
        <f t="shared" si="8"/>
        <v>10.7</v>
      </c>
      <c r="Z22" s="601">
        <v>60151</v>
      </c>
      <c r="AA22" s="283">
        <v>21750</v>
      </c>
      <c r="AB22" s="601">
        <v>52175</v>
      </c>
      <c r="AC22" s="122">
        <f t="shared" si="9"/>
        <v>-13.3</v>
      </c>
      <c r="AD22" s="283">
        <v>23968</v>
      </c>
      <c r="AE22" s="122">
        <f t="shared" si="10"/>
        <v>10.199999999999999</v>
      </c>
      <c r="AF22" s="283">
        <f t="shared" ref="AF22:AF27" si="84">AL22-Z22</f>
        <v>30409</v>
      </c>
      <c r="AG22" s="283">
        <f t="shared" ref="AG22:AG27" si="85">AM22-AA22</f>
        <v>12131</v>
      </c>
      <c r="AH22" s="283">
        <f t="shared" ref="AH22:AH27" si="86">AN22-AB22</f>
        <v>19950</v>
      </c>
      <c r="AI22" s="122">
        <f t="shared" si="30"/>
        <v>-34.4</v>
      </c>
      <c r="AJ22" s="283">
        <f t="shared" ref="AJ22:AJ27" si="87">AP22-AD22</f>
        <v>18665</v>
      </c>
      <c r="AK22" s="122">
        <f t="shared" si="11"/>
        <v>53.9</v>
      </c>
      <c r="AL22" s="601">
        <v>90560</v>
      </c>
      <c r="AM22" s="601">
        <v>33881</v>
      </c>
      <c r="AN22" s="283">
        <v>72125</v>
      </c>
      <c r="AO22" s="122">
        <f t="shared" si="12"/>
        <v>-20.399999999999999</v>
      </c>
      <c r="AP22" s="283">
        <v>42633</v>
      </c>
      <c r="AQ22" s="122">
        <f t="shared" si="13"/>
        <v>25.8</v>
      </c>
      <c r="AR22" s="283">
        <f t="shared" ref="AR22:AR27" si="88">AX22-AL22</f>
        <v>29472</v>
      </c>
      <c r="AS22" s="283">
        <f t="shared" ref="AS22:AS27" si="89">AY22-AM22</f>
        <v>10297</v>
      </c>
      <c r="AT22" s="283">
        <f t="shared" ref="AT22:AT27" si="90">AZ22-AN22</f>
        <v>36898</v>
      </c>
      <c r="AU22" s="122">
        <f t="shared" si="33"/>
        <v>25.2</v>
      </c>
      <c r="AV22" s="283">
        <f t="shared" ref="AV22:AV27" si="91">BB22-AP22</f>
        <v>16596</v>
      </c>
      <c r="AW22" s="122">
        <f t="shared" si="14"/>
        <v>61.2</v>
      </c>
      <c r="AX22" s="601">
        <v>120032</v>
      </c>
      <c r="AY22" s="601">
        <v>44178</v>
      </c>
      <c r="AZ22" s="283">
        <v>109023</v>
      </c>
      <c r="BA22" s="122">
        <f t="shared" si="15"/>
        <v>-9.1999999999999993</v>
      </c>
      <c r="BB22" s="283">
        <v>59229</v>
      </c>
      <c r="BC22" s="122">
        <f t="shared" si="16"/>
        <v>34.1</v>
      </c>
      <c r="BD22" s="283">
        <f t="shared" ref="BD22:BF27" si="92">BJ22-AX22</f>
        <v>19626</v>
      </c>
      <c r="BE22" s="283">
        <f t="shared" si="92"/>
        <v>8991</v>
      </c>
      <c r="BF22" s="283">
        <f t="shared" si="92"/>
        <v>26681</v>
      </c>
      <c r="BG22" s="122">
        <f t="shared" si="36"/>
        <v>35.9</v>
      </c>
      <c r="BH22" s="283">
        <f t="shared" ref="BH22:BH27" si="93">BN22-BB22</f>
        <v>14093</v>
      </c>
      <c r="BI22" s="122">
        <f t="shared" si="17"/>
        <v>56.7</v>
      </c>
      <c r="BJ22" s="601">
        <v>139658</v>
      </c>
      <c r="BK22" s="601">
        <v>53169</v>
      </c>
      <c r="BL22" s="283">
        <v>135704</v>
      </c>
      <c r="BM22" s="122">
        <f t="shared" si="18"/>
        <v>-2.8</v>
      </c>
      <c r="BN22" s="283">
        <v>73322</v>
      </c>
      <c r="BO22" s="122">
        <f t="shared" si="19"/>
        <v>37.9</v>
      </c>
    </row>
    <row r="23" spans="1:67" ht="21.75" customHeight="1" thickBot="1">
      <c r="A23" s="811"/>
      <c r="B23" s="812"/>
      <c r="C23" s="123" t="s">
        <v>252</v>
      </c>
      <c r="D23" s="124">
        <v>777511</v>
      </c>
      <c r="E23" s="124">
        <v>280289</v>
      </c>
      <c r="F23" s="124">
        <v>848363</v>
      </c>
      <c r="G23" s="124">
        <v>350148</v>
      </c>
      <c r="H23" s="284">
        <v>877779</v>
      </c>
      <c r="I23" s="284">
        <v>389373</v>
      </c>
      <c r="J23" s="602">
        <v>775139</v>
      </c>
      <c r="K23" s="522">
        <v>306235</v>
      </c>
      <c r="L23" s="602">
        <v>669202</v>
      </c>
      <c r="M23" s="602">
        <v>295873</v>
      </c>
      <c r="N23" s="602">
        <v>74823</v>
      </c>
      <c r="O23" s="602">
        <v>25810</v>
      </c>
      <c r="P23" s="284">
        <v>49106</v>
      </c>
      <c r="Q23" s="125">
        <f t="shared" si="6"/>
        <v>-34.4</v>
      </c>
      <c r="R23" s="284">
        <v>28326</v>
      </c>
      <c r="S23" s="125">
        <f t="shared" si="7"/>
        <v>9.6999999999999993</v>
      </c>
      <c r="T23" s="284">
        <f t="shared" si="80"/>
        <v>51357</v>
      </c>
      <c r="U23" s="284">
        <f t="shared" si="81"/>
        <v>18751</v>
      </c>
      <c r="V23" s="284">
        <f t="shared" si="82"/>
        <v>65928</v>
      </c>
      <c r="W23" s="125">
        <f t="shared" si="25"/>
        <v>28.4</v>
      </c>
      <c r="X23" s="284">
        <f t="shared" si="83"/>
        <v>20681</v>
      </c>
      <c r="Y23" s="125">
        <f t="shared" si="8"/>
        <v>10.3</v>
      </c>
      <c r="Z23" s="602">
        <v>126180</v>
      </c>
      <c r="AA23" s="284">
        <v>44561</v>
      </c>
      <c r="AB23" s="602">
        <v>115034</v>
      </c>
      <c r="AC23" s="125">
        <f t="shared" si="9"/>
        <v>-8.8000000000000007</v>
      </c>
      <c r="AD23" s="284">
        <v>49007</v>
      </c>
      <c r="AE23" s="125">
        <f t="shared" si="10"/>
        <v>10</v>
      </c>
      <c r="AF23" s="284">
        <f t="shared" si="84"/>
        <v>61512</v>
      </c>
      <c r="AG23" s="284">
        <f t="shared" si="85"/>
        <v>23978</v>
      </c>
      <c r="AH23" s="284">
        <f t="shared" si="86"/>
        <v>45013</v>
      </c>
      <c r="AI23" s="125">
        <f t="shared" si="30"/>
        <v>-26.8</v>
      </c>
      <c r="AJ23" s="284">
        <f t="shared" si="87"/>
        <v>38705</v>
      </c>
      <c r="AK23" s="125">
        <f t="shared" si="11"/>
        <v>61.4</v>
      </c>
      <c r="AL23" s="602">
        <v>187692</v>
      </c>
      <c r="AM23" s="602">
        <v>68539</v>
      </c>
      <c r="AN23" s="284">
        <v>160047</v>
      </c>
      <c r="AO23" s="125">
        <f t="shared" si="12"/>
        <v>-14.7</v>
      </c>
      <c r="AP23" s="284">
        <v>87712</v>
      </c>
      <c r="AQ23" s="125">
        <f t="shared" si="13"/>
        <v>28</v>
      </c>
      <c r="AR23" s="284">
        <f t="shared" si="88"/>
        <v>55376</v>
      </c>
      <c r="AS23" s="284">
        <f t="shared" si="89"/>
        <v>19282</v>
      </c>
      <c r="AT23" s="284">
        <f t="shared" si="90"/>
        <v>79959</v>
      </c>
      <c r="AU23" s="125">
        <f t="shared" si="33"/>
        <v>44.4</v>
      </c>
      <c r="AV23" s="284">
        <f t="shared" si="91"/>
        <v>34072</v>
      </c>
      <c r="AW23" s="125">
        <f t="shared" si="14"/>
        <v>76.7</v>
      </c>
      <c r="AX23" s="602">
        <v>243068</v>
      </c>
      <c r="AY23" s="602">
        <v>87821</v>
      </c>
      <c r="AZ23" s="284">
        <v>240006</v>
      </c>
      <c r="BA23" s="125">
        <f t="shared" si="15"/>
        <v>-1.3</v>
      </c>
      <c r="BB23" s="284">
        <v>121784</v>
      </c>
      <c r="BC23" s="125">
        <f t="shared" si="16"/>
        <v>38.700000000000003</v>
      </c>
      <c r="BD23" s="284">
        <f t="shared" si="92"/>
        <v>36455</v>
      </c>
      <c r="BE23" s="284">
        <f t="shared" si="92"/>
        <v>16228</v>
      </c>
      <c r="BF23" s="284">
        <f t="shared" si="92"/>
        <v>61172</v>
      </c>
      <c r="BG23" s="125">
        <f t="shared" si="36"/>
        <v>67.8</v>
      </c>
      <c r="BH23" s="284">
        <f t="shared" si="93"/>
        <v>29226</v>
      </c>
      <c r="BI23" s="125">
        <f t="shared" si="17"/>
        <v>80.099999999999994</v>
      </c>
      <c r="BJ23" s="602">
        <v>279523</v>
      </c>
      <c r="BK23" s="602">
        <v>104049</v>
      </c>
      <c r="BL23" s="284">
        <v>301178</v>
      </c>
      <c r="BM23" s="125">
        <f t="shared" si="18"/>
        <v>7.7</v>
      </c>
      <c r="BN23" s="284">
        <v>151010</v>
      </c>
      <c r="BO23" s="125">
        <f t="shared" si="19"/>
        <v>45.1</v>
      </c>
    </row>
    <row r="24" spans="1:67" ht="21.75" customHeight="1" thickTop="1">
      <c r="A24" s="807" t="s">
        <v>257</v>
      </c>
      <c r="B24" s="808" t="s">
        <v>251</v>
      </c>
      <c r="C24" s="129" t="s">
        <v>569</v>
      </c>
      <c r="D24" s="600">
        <v>1215</v>
      </c>
      <c r="E24" s="600">
        <v>163</v>
      </c>
      <c r="F24" s="600">
        <v>564</v>
      </c>
      <c r="G24" s="600">
        <v>360</v>
      </c>
      <c r="H24" s="600">
        <v>264</v>
      </c>
      <c r="I24" s="600">
        <v>473</v>
      </c>
      <c r="J24" s="600">
        <v>23</v>
      </c>
      <c r="K24" s="600">
        <v>1107</v>
      </c>
      <c r="L24" s="600">
        <v>594</v>
      </c>
      <c r="M24" s="600">
        <v>729</v>
      </c>
      <c r="N24" s="600">
        <v>0</v>
      </c>
      <c r="O24" s="600">
        <v>292</v>
      </c>
      <c r="P24" s="600">
        <v>0</v>
      </c>
      <c r="Q24" s="594" t="e">
        <f t="shared" si="6"/>
        <v>#DIV/0!</v>
      </c>
      <c r="R24" s="600">
        <v>61</v>
      </c>
      <c r="S24" s="594">
        <f t="shared" si="7"/>
        <v>-79.099999999999994</v>
      </c>
      <c r="T24" s="600">
        <f t="shared" si="80"/>
        <v>0</v>
      </c>
      <c r="U24" s="600">
        <f t="shared" si="81"/>
        <v>26</v>
      </c>
      <c r="V24" s="600">
        <f t="shared" si="82"/>
        <v>3</v>
      </c>
      <c r="W24" s="594" t="e">
        <f t="shared" si="25"/>
        <v>#DIV/0!</v>
      </c>
      <c r="X24" s="600">
        <f t="shared" si="83"/>
        <v>46</v>
      </c>
      <c r="Y24" s="594">
        <f t="shared" si="8"/>
        <v>76.900000000000006</v>
      </c>
      <c r="Z24" s="600">
        <v>0</v>
      </c>
      <c r="AA24" s="600">
        <v>318</v>
      </c>
      <c r="AB24" s="600">
        <v>3</v>
      </c>
      <c r="AC24" s="594" t="e">
        <f t="shared" si="9"/>
        <v>#DIV/0!</v>
      </c>
      <c r="AD24" s="600">
        <v>107</v>
      </c>
      <c r="AE24" s="594">
        <f t="shared" si="10"/>
        <v>-66.400000000000006</v>
      </c>
      <c r="AF24" s="600">
        <f t="shared" si="84"/>
        <v>6</v>
      </c>
      <c r="AG24" s="600">
        <f t="shared" si="85"/>
        <v>195</v>
      </c>
      <c r="AH24" s="600">
        <f t="shared" si="86"/>
        <v>0</v>
      </c>
      <c r="AI24" s="594">
        <f t="shared" si="30"/>
        <v>-100</v>
      </c>
      <c r="AJ24" s="600">
        <f t="shared" si="87"/>
        <v>28</v>
      </c>
      <c r="AK24" s="594">
        <f t="shared" si="11"/>
        <v>-85.6</v>
      </c>
      <c r="AL24" s="600">
        <v>6</v>
      </c>
      <c r="AM24" s="600">
        <v>513</v>
      </c>
      <c r="AN24" s="600">
        <v>3</v>
      </c>
      <c r="AO24" s="594">
        <f t="shared" si="12"/>
        <v>-50</v>
      </c>
      <c r="AP24" s="600">
        <v>135</v>
      </c>
      <c r="AQ24" s="594">
        <f t="shared" si="13"/>
        <v>-73.7</v>
      </c>
      <c r="AR24" s="600">
        <f t="shared" si="88"/>
        <v>0</v>
      </c>
      <c r="AS24" s="600">
        <f t="shared" si="89"/>
        <v>20</v>
      </c>
      <c r="AT24" s="600">
        <f t="shared" si="90"/>
        <v>0</v>
      </c>
      <c r="AU24" s="594" t="e">
        <f t="shared" si="33"/>
        <v>#DIV/0!</v>
      </c>
      <c r="AV24" s="600">
        <f t="shared" si="91"/>
        <v>21</v>
      </c>
      <c r="AW24" s="594">
        <f t="shared" si="14"/>
        <v>5</v>
      </c>
      <c r="AX24" s="600">
        <v>6</v>
      </c>
      <c r="AY24" s="600">
        <v>533</v>
      </c>
      <c r="AZ24" s="600">
        <v>3</v>
      </c>
      <c r="BA24" s="594">
        <f t="shared" si="15"/>
        <v>-50</v>
      </c>
      <c r="BB24" s="600">
        <v>156</v>
      </c>
      <c r="BC24" s="594">
        <f t="shared" si="16"/>
        <v>-70.7</v>
      </c>
      <c r="BD24" s="600">
        <f t="shared" si="92"/>
        <v>0</v>
      </c>
      <c r="BE24" s="600">
        <f t="shared" si="92"/>
        <v>0</v>
      </c>
      <c r="BF24" s="600">
        <f t="shared" si="92"/>
        <v>2</v>
      </c>
      <c r="BG24" s="594" t="e">
        <f t="shared" si="36"/>
        <v>#DIV/0!</v>
      </c>
      <c r="BH24" s="600">
        <f t="shared" si="93"/>
        <v>61</v>
      </c>
      <c r="BI24" s="594" t="e">
        <f t="shared" si="17"/>
        <v>#DIV/0!</v>
      </c>
      <c r="BJ24" s="600">
        <v>6</v>
      </c>
      <c r="BK24" s="600">
        <v>533</v>
      </c>
      <c r="BL24" s="600">
        <v>5</v>
      </c>
      <c r="BM24" s="594">
        <f t="shared" si="18"/>
        <v>-16.7</v>
      </c>
      <c r="BN24" s="600">
        <v>217</v>
      </c>
      <c r="BO24" s="594">
        <f t="shared" si="19"/>
        <v>-59.3</v>
      </c>
    </row>
    <row r="25" spans="1:67" ht="21.75" customHeight="1">
      <c r="A25" s="805"/>
      <c r="B25" s="805"/>
      <c r="C25" s="660" t="s">
        <v>252</v>
      </c>
      <c r="D25" s="603">
        <v>1530</v>
      </c>
      <c r="E25" s="603">
        <v>225</v>
      </c>
      <c r="F25" s="603">
        <v>990</v>
      </c>
      <c r="G25" s="603">
        <v>673</v>
      </c>
      <c r="H25" s="603">
        <v>399</v>
      </c>
      <c r="I25" s="603">
        <v>882</v>
      </c>
      <c r="J25" s="603">
        <v>19</v>
      </c>
      <c r="K25" s="603">
        <v>1984</v>
      </c>
      <c r="L25" s="603">
        <v>179</v>
      </c>
      <c r="M25" s="603">
        <v>1265</v>
      </c>
      <c r="N25" s="603">
        <v>0</v>
      </c>
      <c r="O25" s="603">
        <v>554</v>
      </c>
      <c r="P25" s="603">
        <v>0</v>
      </c>
      <c r="Q25" s="591" t="e">
        <f t="shared" si="6"/>
        <v>#DIV/0!</v>
      </c>
      <c r="R25" s="603">
        <v>108</v>
      </c>
      <c r="S25" s="591">
        <f t="shared" si="7"/>
        <v>-80.5</v>
      </c>
      <c r="T25" s="603">
        <f t="shared" si="80"/>
        <v>0</v>
      </c>
      <c r="U25" s="603">
        <f t="shared" si="81"/>
        <v>43</v>
      </c>
      <c r="V25" s="603">
        <f t="shared" si="82"/>
        <v>4</v>
      </c>
      <c r="W25" s="591" t="e">
        <f t="shared" si="25"/>
        <v>#DIV/0!</v>
      </c>
      <c r="X25" s="603">
        <f t="shared" si="83"/>
        <v>78</v>
      </c>
      <c r="Y25" s="591">
        <f t="shared" si="8"/>
        <v>81.400000000000006</v>
      </c>
      <c r="Z25" s="603">
        <v>0</v>
      </c>
      <c r="AA25" s="603">
        <v>597</v>
      </c>
      <c r="AB25" s="603">
        <v>4</v>
      </c>
      <c r="AC25" s="591" t="e">
        <f t="shared" si="9"/>
        <v>#DIV/0!</v>
      </c>
      <c r="AD25" s="603">
        <v>186</v>
      </c>
      <c r="AE25" s="591">
        <f t="shared" si="10"/>
        <v>-68.8</v>
      </c>
      <c r="AF25" s="603">
        <f t="shared" si="84"/>
        <v>3</v>
      </c>
      <c r="AG25" s="603">
        <f t="shared" si="85"/>
        <v>341</v>
      </c>
      <c r="AH25" s="603">
        <f t="shared" si="86"/>
        <v>0</v>
      </c>
      <c r="AI25" s="591">
        <f t="shared" si="30"/>
        <v>-100</v>
      </c>
      <c r="AJ25" s="603">
        <f t="shared" si="87"/>
        <v>54</v>
      </c>
      <c r="AK25" s="591">
        <f t="shared" si="11"/>
        <v>-84.2</v>
      </c>
      <c r="AL25" s="603">
        <v>3</v>
      </c>
      <c r="AM25" s="603">
        <v>938</v>
      </c>
      <c r="AN25" s="603">
        <v>4</v>
      </c>
      <c r="AO25" s="591">
        <f t="shared" si="12"/>
        <v>33.299999999999997</v>
      </c>
      <c r="AP25" s="603">
        <v>240</v>
      </c>
      <c r="AQ25" s="591">
        <f t="shared" si="13"/>
        <v>-74.400000000000006</v>
      </c>
      <c r="AR25" s="603">
        <f t="shared" si="88"/>
        <v>0</v>
      </c>
      <c r="AS25" s="603">
        <f t="shared" si="89"/>
        <v>26</v>
      </c>
      <c r="AT25" s="603">
        <f t="shared" si="90"/>
        <v>1</v>
      </c>
      <c r="AU25" s="591" t="e">
        <f t="shared" si="33"/>
        <v>#DIV/0!</v>
      </c>
      <c r="AV25" s="603">
        <f t="shared" si="91"/>
        <v>35</v>
      </c>
      <c r="AW25" s="591">
        <f t="shared" si="14"/>
        <v>34.6</v>
      </c>
      <c r="AX25" s="603">
        <v>3</v>
      </c>
      <c r="AY25" s="603">
        <v>964</v>
      </c>
      <c r="AZ25" s="603">
        <v>5</v>
      </c>
      <c r="BA25" s="591">
        <f t="shared" si="15"/>
        <v>66.7</v>
      </c>
      <c r="BB25" s="603">
        <v>275</v>
      </c>
      <c r="BC25" s="591">
        <f t="shared" si="16"/>
        <v>-71.5</v>
      </c>
      <c r="BD25" s="603">
        <f t="shared" si="92"/>
        <v>0</v>
      </c>
      <c r="BE25" s="603">
        <f t="shared" si="92"/>
        <v>0</v>
      </c>
      <c r="BF25" s="603">
        <f t="shared" si="92"/>
        <v>6</v>
      </c>
      <c r="BG25" s="591" t="e">
        <f t="shared" si="36"/>
        <v>#DIV/0!</v>
      </c>
      <c r="BH25" s="603">
        <f t="shared" si="93"/>
        <v>110</v>
      </c>
      <c r="BI25" s="591" t="e">
        <f t="shared" si="17"/>
        <v>#DIV/0!</v>
      </c>
      <c r="BJ25" s="603">
        <v>3</v>
      </c>
      <c r="BK25" s="603">
        <v>964</v>
      </c>
      <c r="BL25" s="603">
        <v>11</v>
      </c>
      <c r="BM25" s="591">
        <f t="shared" si="18"/>
        <v>266.7</v>
      </c>
      <c r="BN25" s="603">
        <v>385</v>
      </c>
      <c r="BO25" s="591">
        <f t="shared" si="19"/>
        <v>-60.1</v>
      </c>
    </row>
    <row r="26" spans="1:67" ht="21.75" customHeight="1">
      <c r="A26" s="805"/>
      <c r="B26" s="805" t="s">
        <v>253</v>
      </c>
      <c r="C26" s="114" t="s">
        <v>569</v>
      </c>
      <c r="D26" s="599">
        <v>572828</v>
      </c>
      <c r="E26" s="599">
        <v>59139</v>
      </c>
      <c r="F26" s="599">
        <v>534026</v>
      </c>
      <c r="G26" s="599">
        <v>63550</v>
      </c>
      <c r="H26" s="599">
        <v>589791</v>
      </c>
      <c r="I26" s="599">
        <v>60914</v>
      </c>
      <c r="J26" s="599">
        <v>550925</v>
      </c>
      <c r="K26" s="599">
        <v>47837</v>
      </c>
      <c r="L26" s="599">
        <v>609326</v>
      </c>
      <c r="M26" s="599">
        <v>39665</v>
      </c>
      <c r="N26" s="599">
        <v>46224</v>
      </c>
      <c r="O26" s="599">
        <v>3791</v>
      </c>
      <c r="P26" s="599">
        <v>41690</v>
      </c>
      <c r="Q26" s="590">
        <f t="shared" si="6"/>
        <v>-9.8000000000000007</v>
      </c>
      <c r="R26" s="599">
        <v>3520</v>
      </c>
      <c r="S26" s="590">
        <f t="shared" si="7"/>
        <v>-7.1</v>
      </c>
      <c r="T26" s="599">
        <f t="shared" si="80"/>
        <v>43875</v>
      </c>
      <c r="U26" s="599">
        <f t="shared" si="81"/>
        <v>3742</v>
      </c>
      <c r="V26" s="599">
        <f t="shared" si="82"/>
        <v>47190</v>
      </c>
      <c r="W26" s="590">
        <f t="shared" si="25"/>
        <v>7.6</v>
      </c>
      <c r="X26" s="599">
        <f t="shared" si="83"/>
        <v>1791</v>
      </c>
      <c r="Y26" s="590">
        <f t="shared" si="8"/>
        <v>-52.1</v>
      </c>
      <c r="Z26" s="599">
        <v>90099</v>
      </c>
      <c r="AA26" s="599">
        <v>7533</v>
      </c>
      <c r="AB26" s="599">
        <v>88880</v>
      </c>
      <c r="AC26" s="590">
        <f t="shared" si="9"/>
        <v>-1.4</v>
      </c>
      <c r="AD26" s="599">
        <v>5311</v>
      </c>
      <c r="AE26" s="590">
        <f t="shared" si="10"/>
        <v>-29.5</v>
      </c>
      <c r="AF26" s="599">
        <f t="shared" si="84"/>
        <v>61739</v>
      </c>
      <c r="AG26" s="599">
        <f t="shared" si="85"/>
        <v>6518</v>
      </c>
      <c r="AH26" s="599">
        <f t="shared" si="86"/>
        <v>57693</v>
      </c>
      <c r="AI26" s="590">
        <f t="shared" si="30"/>
        <v>-6.6</v>
      </c>
      <c r="AJ26" s="599">
        <f t="shared" si="87"/>
        <v>4190</v>
      </c>
      <c r="AK26" s="590">
        <f t="shared" si="11"/>
        <v>-35.700000000000003</v>
      </c>
      <c r="AL26" s="599">
        <v>151838</v>
      </c>
      <c r="AM26" s="599">
        <v>14051</v>
      </c>
      <c r="AN26" s="599">
        <v>146573</v>
      </c>
      <c r="AO26" s="590">
        <f t="shared" si="12"/>
        <v>-3.5</v>
      </c>
      <c r="AP26" s="599">
        <v>9501</v>
      </c>
      <c r="AQ26" s="590">
        <f t="shared" si="13"/>
        <v>-32.4</v>
      </c>
      <c r="AR26" s="599">
        <f t="shared" si="88"/>
        <v>52472</v>
      </c>
      <c r="AS26" s="599">
        <f t="shared" si="89"/>
        <v>2527</v>
      </c>
      <c r="AT26" s="599">
        <f t="shared" si="90"/>
        <v>50325</v>
      </c>
      <c r="AU26" s="590">
        <f t="shared" si="33"/>
        <v>-4.0999999999999996</v>
      </c>
      <c r="AV26" s="599">
        <f t="shared" si="91"/>
        <v>3254</v>
      </c>
      <c r="AW26" s="590">
        <f t="shared" si="14"/>
        <v>28.8</v>
      </c>
      <c r="AX26" s="599">
        <v>204310</v>
      </c>
      <c r="AY26" s="599">
        <v>16578</v>
      </c>
      <c r="AZ26" s="599">
        <v>196898</v>
      </c>
      <c r="BA26" s="590">
        <f t="shared" si="15"/>
        <v>-3.6</v>
      </c>
      <c r="BB26" s="599">
        <v>12755</v>
      </c>
      <c r="BC26" s="590">
        <f t="shared" si="16"/>
        <v>-23.1</v>
      </c>
      <c r="BD26" s="599">
        <f t="shared" si="92"/>
        <v>45004</v>
      </c>
      <c r="BE26" s="599">
        <f t="shared" si="92"/>
        <v>2947</v>
      </c>
      <c r="BF26" s="599">
        <f t="shared" si="92"/>
        <v>50343</v>
      </c>
      <c r="BG26" s="590">
        <f t="shared" si="36"/>
        <v>11.9</v>
      </c>
      <c r="BH26" s="599">
        <f t="shared" si="93"/>
        <v>2719</v>
      </c>
      <c r="BI26" s="590">
        <f t="shared" si="17"/>
        <v>-7.7</v>
      </c>
      <c r="BJ26" s="599">
        <v>249314</v>
      </c>
      <c r="BK26" s="599">
        <v>19525</v>
      </c>
      <c r="BL26" s="599">
        <v>247241</v>
      </c>
      <c r="BM26" s="590">
        <f t="shared" si="18"/>
        <v>-0.8</v>
      </c>
      <c r="BN26" s="599">
        <v>15474</v>
      </c>
      <c r="BO26" s="590">
        <f t="shared" si="19"/>
        <v>-20.7</v>
      </c>
    </row>
    <row r="27" spans="1:67" ht="21.75" customHeight="1">
      <c r="A27" s="805"/>
      <c r="B27" s="805"/>
      <c r="C27" s="660" t="s">
        <v>252</v>
      </c>
      <c r="D27" s="603">
        <v>1267896</v>
      </c>
      <c r="E27" s="603">
        <v>129584</v>
      </c>
      <c r="F27" s="603">
        <v>1609066</v>
      </c>
      <c r="G27" s="603">
        <v>188448</v>
      </c>
      <c r="H27" s="603">
        <v>1825760</v>
      </c>
      <c r="I27" s="603">
        <v>191919</v>
      </c>
      <c r="J27" s="603">
        <v>1491865</v>
      </c>
      <c r="K27" s="603">
        <v>131283</v>
      </c>
      <c r="L27" s="603">
        <v>1440275</v>
      </c>
      <c r="M27" s="603">
        <v>95471</v>
      </c>
      <c r="N27" s="603">
        <v>112025</v>
      </c>
      <c r="O27" s="603">
        <v>9545</v>
      </c>
      <c r="P27" s="603">
        <v>118854</v>
      </c>
      <c r="Q27" s="591">
        <f t="shared" si="6"/>
        <v>6.1</v>
      </c>
      <c r="R27" s="603">
        <v>9922</v>
      </c>
      <c r="S27" s="591">
        <f t="shared" si="7"/>
        <v>3.9</v>
      </c>
      <c r="T27" s="603">
        <f t="shared" si="80"/>
        <v>104542</v>
      </c>
      <c r="U27" s="603">
        <f t="shared" si="81"/>
        <v>9319</v>
      </c>
      <c r="V27" s="603">
        <f t="shared" si="82"/>
        <v>133521</v>
      </c>
      <c r="W27" s="591">
        <f t="shared" si="25"/>
        <v>27.7</v>
      </c>
      <c r="X27" s="603">
        <f t="shared" si="83"/>
        <v>5094</v>
      </c>
      <c r="Y27" s="591">
        <f t="shared" si="8"/>
        <v>-45.3</v>
      </c>
      <c r="Z27" s="603">
        <v>216567</v>
      </c>
      <c r="AA27" s="603">
        <v>18864</v>
      </c>
      <c r="AB27" s="603">
        <v>252375</v>
      </c>
      <c r="AC27" s="591">
        <f t="shared" si="9"/>
        <v>16.5</v>
      </c>
      <c r="AD27" s="603">
        <v>15016</v>
      </c>
      <c r="AE27" s="591">
        <f t="shared" si="10"/>
        <v>-20.399999999999999</v>
      </c>
      <c r="AF27" s="603">
        <f t="shared" si="84"/>
        <v>130522</v>
      </c>
      <c r="AG27" s="603">
        <f t="shared" si="85"/>
        <v>14884</v>
      </c>
      <c r="AH27" s="603">
        <f t="shared" si="86"/>
        <v>166295</v>
      </c>
      <c r="AI27" s="591">
        <f t="shared" si="30"/>
        <v>27.4</v>
      </c>
      <c r="AJ27" s="603">
        <f t="shared" si="87"/>
        <v>12147</v>
      </c>
      <c r="AK27" s="591">
        <f t="shared" si="11"/>
        <v>-18.399999999999999</v>
      </c>
      <c r="AL27" s="603">
        <v>347089</v>
      </c>
      <c r="AM27" s="603">
        <v>33748</v>
      </c>
      <c r="AN27" s="603">
        <v>418670</v>
      </c>
      <c r="AO27" s="591">
        <f t="shared" si="12"/>
        <v>20.6</v>
      </c>
      <c r="AP27" s="603">
        <v>27163</v>
      </c>
      <c r="AQ27" s="591">
        <f t="shared" si="13"/>
        <v>-19.5</v>
      </c>
      <c r="AR27" s="603">
        <f t="shared" si="88"/>
        <v>107952</v>
      </c>
      <c r="AS27" s="603">
        <f t="shared" si="89"/>
        <v>5778</v>
      </c>
      <c r="AT27" s="603">
        <f t="shared" si="90"/>
        <v>146907</v>
      </c>
      <c r="AU27" s="591">
        <f t="shared" si="33"/>
        <v>36.1</v>
      </c>
      <c r="AV27" s="603">
        <f t="shared" si="91"/>
        <v>9540</v>
      </c>
      <c r="AW27" s="591">
        <f t="shared" si="14"/>
        <v>65.099999999999994</v>
      </c>
      <c r="AX27" s="603">
        <v>455041</v>
      </c>
      <c r="AY27" s="603">
        <v>39526</v>
      </c>
      <c r="AZ27" s="603">
        <v>565577</v>
      </c>
      <c r="BA27" s="591">
        <f t="shared" si="15"/>
        <v>24.3</v>
      </c>
      <c r="BB27" s="603">
        <v>36703</v>
      </c>
      <c r="BC27" s="591">
        <f t="shared" si="16"/>
        <v>-7.1</v>
      </c>
      <c r="BD27" s="603">
        <f t="shared" si="92"/>
        <v>91524</v>
      </c>
      <c r="BE27" s="603">
        <f t="shared" si="92"/>
        <v>6432</v>
      </c>
      <c r="BF27" s="603">
        <f t="shared" si="92"/>
        <v>151486</v>
      </c>
      <c r="BG27" s="591">
        <f t="shared" si="36"/>
        <v>65.5</v>
      </c>
      <c r="BH27" s="603">
        <f t="shared" si="93"/>
        <v>8226</v>
      </c>
      <c r="BI27" s="591">
        <f t="shared" si="17"/>
        <v>27.9</v>
      </c>
      <c r="BJ27" s="603">
        <v>546565</v>
      </c>
      <c r="BK27" s="603">
        <v>45958</v>
      </c>
      <c r="BL27" s="603">
        <v>717063</v>
      </c>
      <c r="BM27" s="591">
        <f t="shared" si="18"/>
        <v>31.2</v>
      </c>
      <c r="BN27" s="603">
        <v>44929</v>
      </c>
      <c r="BO27" s="591">
        <f t="shared" si="19"/>
        <v>-2.2000000000000002</v>
      </c>
    </row>
    <row r="28" spans="1:67" ht="21.75" customHeight="1">
      <c r="A28" s="805"/>
      <c r="B28" s="809" t="s">
        <v>254</v>
      </c>
      <c r="C28" s="114" t="s">
        <v>569</v>
      </c>
      <c r="D28" s="599">
        <f t="shared" ref="D28:F29" si="94">D30-D24-D26</f>
        <v>15902</v>
      </c>
      <c r="E28" s="599">
        <f>E30-E24-E26</f>
        <v>12026</v>
      </c>
      <c r="F28" s="599">
        <f t="shared" si="94"/>
        <v>17287</v>
      </c>
      <c r="G28" s="599">
        <f t="shared" ref="G28:J29" si="95">G30-G24-G26</f>
        <v>10006</v>
      </c>
      <c r="H28" s="599">
        <f t="shared" si="95"/>
        <v>20764</v>
      </c>
      <c r="I28" s="599">
        <f t="shared" si="95"/>
        <v>8255</v>
      </c>
      <c r="J28" s="599">
        <f t="shared" si="95"/>
        <v>19175</v>
      </c>
      <c r="K28" s="599">
        <f>K30-K24-K26</f>
        <v>6978</v>
      </c>
      <c r="L28" s="599">
        <f t="shared" ref="L28" si="96">L30-L24-L26</f>
        <v>16417</v>
      </c>
      <c r="M28" s="599">
        <f>M30-M24-M26</f>
        <v>6101</v>
      </c>
      <c r="N28" s="599">
        <f t="shared" ref="N28" si="97">N30-N24-N26</f>
        <v>1142</v>
      </c>
      <c r="O28" s="599">
        <f>O30-O24-O26</f>
        <v>472</v>
      </c>
      <c r="P28" s="599">
        <f>P30-P24-P26</f>
        <v>1717</v>
      </c>
      <c r="Q28" s="590">
        <f t="shared" si="6"/>
        <v>50.4</v>
      </c>
      <c r="R28" s="599">
        <f>R30-R24-R26</f>
        <v>285</v>
      </c>
      <c r="S28" s="590">
        <f t="shared" si="7"/>
        <v>-39.6</v>
      </c>
      <c r="T28" s="599">
        <f t="shared" ref="T28:V29" si="98">T30-T24-T26</f>
        <v>1315</v>
      </c>
      <c r="U28" s="599">
        <f t="shared" si="98"/>
        <v>592</v>
      </c>
      <c r="V28" s="599">
        <f t="shared" si="98"/>
        <v>1218</v>
      </c>
      <c r="W28" s="590">
        <f t="shared" si="25"/>
        <v>-7.4</v>
      </c>
      <c r="X28" s="599">
        <f>X30-X24-X26</f>
        <v>311</v>
      </c>
      <c r="Y28" s="590">
        <f t="shared" si="8"/>
        <v>-47.5</v>
      </c>
      <c r="Z28" s="599">
        <f t="shared" ref="Z28" si="99">Z30-Z24-Z26</f>
        <v>2457</v>
      </c>
      <c r="AA28" s="599">
        <f t="shared" ref="AA28:AB29" si="100">AA30-AA24-AA26</f>
        <v>1064</v>
      </c>
      <c r="AB28" s="599">
        <f t="shared" si="100"/>
        <v>2935</v>
      </c>
      <c r="AC28" s="590">
        <f t="shared" si="9"/>
        <v>19.5</v>
      </c>
      <c r="AD28" s="599">
        <f t="shared" ref="AD28" si="101">AD30-AD24-AD26</f>
        <v>596</v>
      </c>
      <c r="AE28" s="590">
        <f t="shared" si="10"/>
        <v>-44</v>
      </c>
      <c r="AF28" s="599">
        <f t="shared" ref="AF28:AH29" si="102">AF30-AF24-AF26</f>
        <v>1493</v>
      </c>
      <c r="AG28" s="599">
        <f t="shared" si="102"/>
        <v>521</v>
      </c>
      <c r="AH28" s="599">
        <f t="shared" si="102"/>
        <v>1668</v>
      </c>
      <c r="AI28" s="590">
        <f t="shared" si="30"/>
        <v>11.7</v>
      </c>
      <c r="AJ28" s="599">
        <f>AJ30-AJ24-AJ26</f>
        <v>515</v>
      </c>
      <c r="AK28" s="590">
        <f t="shared" si="11"/>
        <v>-1.2</v>
      </c>
      <c r="AL28" s="599">
        <f t="shared" ref="AL28" si="103">AL30-AL24-AL26</f>
        <v>3950</v>
      </c>
      <c r="AM28" s="599">
        <f>AM30-AM24-AM26</f>
        <v>1585</v>
      </c>
      <c r="AN28" s="599">
        <f>AN30-AN24-AN26</f>
        <v>4603</v>
      </c>
      <c r="AO28" s="590">
        <f t="shared" si="12"/>
        <v>16.5</v>
      </c>
      <c r="AP28" s="599">
        <f>AP30-AP24-AP26</f>
        <v>1111</v>
      </c>
      <c r="AQ28" s="590">
        <f t="shared" si="13"/>
        <v>-29.9</v>
      </c>
      <c r="AR28" s="599">
        <f t="shared" ref="AR28:AT28" si="104">AR30-AR24-AR26</f>
        <v>1462</v>
      </c>
      <c r="AS28" s="599">
        <f t="shared" si="104"/>
        <v>530</v>
      </c>
      <c r="AT28" s="599">
        <f t="shared" si="104"/>
        <v>2046</v>
      </c>
      <c r="AU28" s="590">
        <f t="shared" si="33"/>
        <v>39.9</v>
      </c>
      <c r="AV28" s="599">
        <f>AV30-AV24-AV26</f>
        <v>623</v>
      </c>
      <c r="AW28" s="590">
        <f t="shared" si="14"/>
        <v>17.5</v>
      </c>
      <c r="AX28" s="599">
        <f t="shared" ref="AX28" si="105">AX30-AX24-AX26</f>
        <v>5412</v>
      </c>
      <c r="AY28" s="599">
        <f>AY30-AY24-AY26</f>
        <v>2115</v>
      </c>
      <c r="AZ28" s="599">
        <f>AZ30-AZ24-AZ26</f>
        <v>6649</v>
      </c>
      <c r="BA28" s="590">
        <f t="shared" si="15"/>
        <v>22.9</v>
      </c>
      <c r="BB28" s="599">
        <f>BB30-BB24-BB26</f>
        <v>1734</v>
      </c>
      <c r="BC28" s="590">
        <f t="shared" si="16"/>
        <v>-18</v>
      </c>
      <c r="BD28" s="599">
        <f t="shared" ref="BD28:BF29" si="106">BD30-BD24-BD26</f>
        <v>1021</v>
      </c>
      <c r="BE28" s="599">
        <f t="shared" si="106"/>
        <v>455</v>
      </c>
      <c r="BF28" s="599">
        <f t="shared" si="106"/>
        <v>1680</v>
      </c>
      <c r="BG28" s="590">
        <f t="shared" si="36"/>
        <v>64.5</v>
      </c>
      <c r="BH28" s="599">
        <f>BH30-BH24-BH26</f>
        <v>349</v>
      </c>
      <c r="BI28" s="590">
        <f t="shared" si="17"/>
        <v>-23.3</v>
      </c>
      <c r="BJ28" s="599">
        <f t="shared" ref="BJ28:BJ29" si="107">BJ30-BJ24-BJ26</f>
        <v>6433</v>
      </c>
      <c r="BK28" s="599">
        <f>BK30-BK24-BK26</f>
        <v>2570</v>
      </c>
      <c r="BL28" s="599">
        <f>BL30-BL24-BL26</f>
        <v>8329</v>
      </c>
      <c r="BM28" s="590">
        <f t="shared" si="18"/>
        <v>29.5</v>
      </c>
      <c r="BN28" s="599">
        <f>BN30-BN24-BN26</f>
        <v>2083</v>
      </c>
      <c r="BO28" s="590">
        <f t="shared" si="19"/>
        <v>-18.899999999999999</v>
      </c>
    </row>
    <row r="29" spans="1:67" ht="21.75" customHeight="1">
      <c r="A29" s="805"/>
      <c r="B29" s="805"/>
      <c r="C29" s="660" t="s">
        <v>252</v>
      </c>
      <c r="D29" s="603">
        <f t="shared" si="94"/>
        <v>31413</v>
      </c>
      <c r="E29" s="603">
        <f>E31-E25-E27</f>
        <v>34044</v>
      </c>
      <c r="F29" s="603">
        <f t="shared" si="94"/>
        <v>43800</v>
      </c>
      <c r="G29" s="603">
        <f t="shared" si="95"/>
        <v>34067</v>
      </c>
      <c r="H29" s="603">
        <f t="shared" si="95"/>
        <v>53033</v>
      </c>
      <c r="I29" s="603">
        <f t="shared" si="95"/>
        <v>34506</v>
      </c>
      <c r="J29" s="603">
        <f t="shared" si="95"/>
        <v>42021</v>
      </c>
      <c r="K29" s="603">
        <f>K31-K25-K27</f>
        <v>27884</v>
      </c>
      <c r="L29" s="603">
        <f t="shared" ref="L29" si="108">L31-L25-L27</f>
        <v>37403</v>
      </c>
      <c r="M29" s="603">
        <f>M31-M25-M27</f>
        <v>24008</v>
      </c>
      <c r="N29" s="603">
        <f t="shared" ref="N29" si="109">N31-N25-N27</f>
        <v>2715</v>
      </c>
      <c r="O29" s="603">
        <f>O31-O25-O27</f>
        <v>2196</v>
      </c>
      <c r="P29" s="603">
        <f>P31-P25-P27</f>
        <v>4168</v>
      </c>
      <c r="Q29" s="591">
        <f t="shared" si="6"/>
        <v>53.5</v>
      </c>
      <c r="R29" s="603">
        <f>R31-R25-R27</f>
        <v>1272</v>
      </c>
      <c r="S29" s="591">
        <f t="shared" si="7"/>
        <v>-42.1</v>
      </c>
      <c r="T29" s="603">
        <f t="shared" si="98"/>
        <v>2932</v>
      </c>
      <c r="U29" s="603">
        <f t="shared" si="98"/>
        <v>2226</v>
      </c>
      <c r="V29" s="603">
        <f t="shared" si="98"/>
        <v>3299</v>
      </c>
      <c r="W29" s="591">
        <f t="shared" si="25"/>
        <v>12.5</v>
      </c>
      <c r="X29" s="603">
        <f>X31-X25-X27</f>
        <v>1427</v>
      </c>
      <c r="Y29" s="591">
        <f t="shared" si="8"/>
        <v>-35.9</v>
      </c>
      <c r="Z29" s="603">
        <f t="shared" ref="Z29" si="110">Z31-Z25-Z27</f>
        <v>5647</v>
      </c>
      <c r="AA29" s="603">
        <f t="shared" si="100"/>
        <v>4422</v>
      </c>
      <c r="AB29" s="603">
        <f t="shared" si="100"/>
        <v>7467</v>
      </c>
      <c r="AC29" s="591">
        <f t="shared" si="9"/>
        <v>32.200000000000003</v>
      </c>
      <c r="AD29" s="603">
        <f t="shared" ref="AD29" si="111">AD31-AD25-AD27</f>
        <v>2699</v>
      </c>
      <c r="AE29" s="591">
        <f t="shared" si="10"/>
        <v>-39</v>
      </c>
      <c r="AF29" s="603">
        <f t="shared" si="102"/>
        <v>3487</v>
      </c>
      <c r="AG29" s="603">
        <f t="shared" si="102"/>
        <v>1836</v>
      </c>
      <c r="AH29" s="603">
        <f t="shared" si="102"/>
        <v>4243</v>
      </c>
      <c r="AI29" s="591">
        <f t="shared" si="30"/>
        <v>21.7</v>
      </c>
      <c r="AJ29" s="603">
        <f>AJ31-AJ25-AJ27</f>
        <v>2365</v>
      </c>
      <c r="AK29" s="591">
        <f t="shared" si="11"/>
        <v>28.8</v>
      </c>
      <c r="AL29" s="603">
        <f t="shared" ref="AL29" si="112">AL31-AL25-AL27</f>
        <v>9134</v>
      </c>
      <c r="AM29" s="603">
        <f>AM31-AM25-AM27</f>
        <v>6258</v>
      </c>
      <c r="AN29" s="603">
        <f>AN31-AN25-AN27</f>
        <v>11710</v>
      </c>
      <c r="AO29" s="591">
        <f t="shared" si="12"/>
        <v>28.2</v>
      </c>
      <c r="AP29" s="603">
        <f>AP31-AP25-AP27</f>
        <v>5064</v>
      </c>
      <c r="AQ29" s="591">
        <f t="shared" si="13"/>
        <v>-19.100000000000001</v>
      </c>
      <c r="AR29" s="603">
        <f t="shared" ref="AR29:AT29" si="113">AR31-AR25-AR27</f>
        <v>3358</v>
      </c>
      <c r="AS29" s="603">
        <f t="shared" si="113"/>
        <v>2214</v>
      </c>
      <c r="AT29" s="603">
        <f t="shared" si="113"/>
        <v>5543</v>
      </c>
      <c r="AU29" s="591">
        <f t="shared" si="33"/>
        <v>65.099999999999994</v>
      </c>
      <c r="AV29" s="603">
        <f>AV31-AV25-AV27</f>
        <v>2655</v>
      </c>
      <c r="AW29" s="591">
        <f t="shared" si="14"/>
        <v>19.899999999999999</v>
      </c>
      <c r="AX29" s="603">
        <f t="shared" ref="AX29" si="114">AX31-AX25-AX27</f>
        <v>12492</v>
      </c>
      <c r="AY29" s="603">
        <f>AY31-AY25-AY27</f>
        <v>8472</v>
      </c>
      <c r="AZ29" s="603">
        <f>AZ31-AZ25-AZ27</f>
        <v>17253</v>
      </c>
      <c r="BA29" s="591">
        <f t="shared" si="15"/>
        <v>38.1</v>
      </c>
      <c r="BB29" s="603">
        <f>BB31-BB25-BB27</f>
        <v>7719</v>
      </c>
      <c r="BC29" s="591">
        <f t="shared" si="16"/>
        <v>-8.9</v>
      </c>
      <c r="BD29" s="603">
        <f t="shared" si="106"/>
        <v>2602</v>
      </c>
      <c r="BE29" s="603">
        <f t="shared" si="106"/>
        <v>2096</v>
      </c>
      <c r="BF29" s="603">
        <f t="shared" si="106"/>
        <v>4457</v>
      </c>
      <c r="BG29" s="591">
        <f t="shared" si="36"/>
        <v>71.3</v>
      </c>
      <c r="BH29" s="603">
        <f>BH31-BH25-BH27</f>
        <v>1673</v>
      </c>
      <c r="BI29" s="591">
        <f t="shared" si="17"/>
        <v>-20.2</v>
      </c>
      <c r="BJ29" s="603">
        <f t="shared" si="107"/>
        <v>15094</v>
      </c>
      <c r="BK29" s="603">
        <f>BK31-BK25-BK27</f>
        <v>10568</v>
      </c>
      <c r="BL29" s="603">
        <f>BL31-BL25-BL27</f>
        <v>21710</v>
      </c>
      <c r="BM29" s="591">
        <f t="shared" si="18"/>
        <v>43.8</v>
      </c>
      <c r="BN29" s="603">
        <f>BN31-BN25-BN27</f>
        <v>9392</v>
      </c>
      <c r="BO29" s="591">
        <f t="shared" si="19"/>
        <v>-11.1</v>
      </c>
    </row>
    <row r="30" spans="1:67" ht="21.75" customHeight="1">
      <c r="A30" s="805"/>
      <c r="B30" s="810" t="s">
        <v>255</v>
      </c>
      <c r="C30" s="120" t="s">
        <v>569</v>
      </c>
      <c r="D30" s="601">
        <v>589945</v>
      </c>
      <c r="E30" s="601">
        <v>71328</v>
      </c>
      <c r="F30" s="601">
        <v>551877</v>
      </c>
      <c r="G30" s="601">
        <v>73916</v>
      </c>
      <c r="H30" s="601">
        <v>610819</v>
      </c>
      <c r="I30" s="601">
        <v>69642</v>
      </c>
      <c r="J30" s="601">
        <v>570123</v>
      </c>
      <c r="K30" s="601">
        <v>55922</v>
      </c>
      <c r="L30" s="601">
        <v>626337</v>
      </c>
      <c r="M30" s="601">
        <v>46495</v>
      </c>
      <c r="N30" s="601">
        <v>47366</v>
      </c>
      <c r="O30" s="601">
        <v>4555</v>
      </c>
      <c r="P30" s="601">
        <v>43407</v>
      </c>
      <c r="Q30" s="592">
        <f t="shared" si="6"/>
        <v>-8.4</v>
      </c>
      <c r="R30" s="601">
        <v>3866</v>
      </c>
      <c r="S30" s="592">
        <f t="shared" si="7"/>
        <v>-15.1</v>
      </c>
      <c r="T30" s="601">
        <f t="shared" ref="T30:T35" si="115">Z30-N30</f>
        <v>45190</v>
      </c>
      <c r="U30" s="601">
        <f t="shared" ref="U30:U35" si="116">AA30-O30</f>
        <v>4360</v>
      </c>
      <c r="V30" s="601">
        <f t="shared" ref="V30:V35" si="117">AB30-P30</f>
        <v>48411</v>
      </c>
      <c r="W30" s="592">
        <f t="shared" si="25"/>
        <v>7.1</v>
      </c>
      <c r="X30" s="601">
        <f t="shared" ref="X30:X35" si="118">AD30-R30</f>
        <v>2148</v>
      </c>
      <c r="Y30" s="592">
        <f t="shared" si="8"/>
        <v>-50.7</v>
      </c>
      <c r="Z30" s="601">
        <v>92556</v>
      </c>
      <c r="AA30" s="601">
        <v>8915</v>
      </c>
      <c r="AB30" s="601">
        <v>91818</v>
      </c>
      <c r="AC30" s="592">
        <f t="shared" si="9"/>
        <v>-0.8</v>
      </c>
      <c r="AD30" s="601">
        <v>6014</v>
      </c>
      <c r="AE30" s="592">
        <f t="shared" si="10"/>
        <v>-32.5</v>
      </c>
      <c r="AF30" s="601">
        <f t="shared" ref="AF30:AF35" si="119">AL30-Z30</f>
        <v>63238</v>
      </c>
      <c r="AG30" s="601">
        <f t="shared" ref="AG30:AG35" si="120">AM30-AA30</f>
        <v>7234</v>
      </c>
      <c r="AH30" s="601">
        <f t="shared" ref="AH30:AH35" si="121">AN30-AB30</f>
        <v>59361</v>
      </c>
      <c r="AI30" s="592">
        <f t="shared" si="30"/>
        <v>-6.1</v>
      </c>
      <c r="AJ30" s="601">
        <f t="shared" ref="AJ30:AJ35" si="122">AP30-AD30</f>
        <v>4733</v>
      </c>
      <c r="AK30" s="592">
        <f t="shared" si="11"/>
        <v>-34.6</v>
      </c>
      <c r="AL30" s="601">
        <v>155794</v>
      </c>
      <c r="AM30" s="601">
        <v>16149</v>
      </c>
      <c r="AN30" s="601">
        <v>151179</v>
      </c>
      <c r="AO30" s="592">
        <f t="shared" si="12"/>
        <v>-3</v>
      </c>
      <c r="AP30" s="601">
        <v>10747</v>
      </c>
      <c r="AQ30" s="592">
        <f t="shared" si="13"/>
        <v>-33.5</v>
      </c>
      <c r="AR30" s="601">
        <f t="shared" ref="AR30:AR35" si="123">AX30-AL30</f>
        <v>53934</v>
      </c>
      <c r="AS30" s="601">
        <f t="shared" ref="AS30:AS35" si="124">AY30-AM30</f>
        <v>3077</v>
      </c>
      <c r="AT30" s="601">
        <f t="shared" ref="AT30:AT35" si="125">AZ30-AN30</f>
        <v>52371</v>
      </c>
      <c r="AU30" s="592">
        <f t="shared" si="33"/>
        <v>-2.9</v>
      </c>
      <c r="AV30" s="601">
        <f t="shared" ref="AV30:AV35" si="126">BB30-AP30</f>
        <v>3898</v>
      </c>
      <c r="AW30" s="592">
        <f t="shared" si="14"/>
        <v>26.7</v>
      </c>
      <c r="AX30" s="601">
        <v>209728</v>
      </c>
      <c r="AY30" s="601">
        <v>19226</v>
      </c>
      <c r="AZ30" s="601">
        <v>203550</v>
      </c>
      <c r="BA30" s="592">
        <f t="shared" si="15"/>
        <v>-2.9</v>
      </c>
      <c r="BB30" s="601">
        <v>14645</v>
      </c>
      <c r="BC30" s="592">
        <f t="shared" si="16"/>
        <v>-23.8</v>
      </c>
      <c r="BD30" s="601">
        <f t="shared" ref="BD30:BF35" si="127">BJ30-AX30</f>
        <v>46025</v>
      </c>
      <c r="BE30" s="601">
        <f t="shared" si="127"/>
        <v>3402</v>
      </c>
      <c r="BF30" s="601">
        <f t="shared" si="127"/>
        <v>52025</v>
      </c>
      <c r="BG30" s="592">
        <f t="shared" si="36"/>
        <v>13</v>
      </c>
      <c r="BH30" s="601">
        <f t="shared" ref="BH30:BH35" si="128">BN30-BB30</f>
        <v>3129</v>
      </c>
      <c r="BI30" s="592">
        <f t="shared" si="17"/>
        <v>-8</v>
      </c>
      <c r="BJ30" s="601">
        <v>255753</v>
      </c>
      <c r="BK30" s="601">
        <v>22628</v>
      </c>
      <c r="BL30" s="601">
        <v>255575</v>
      </c>
      <c r="BM30" s="592">
        <f t="shared" si="18"/>
        <v>-0.1</v>
      </c>
      <c r="BN30" s="601">
        <v>17774</v>
      </c>
      <c r="BO30" s="592">
        <f t="shared" si="19"/>
        <v>-21.5</v>
      </c>
    </row>
    <row r="31" spans="1:67" ht="21.75" customHeight="1">
      <c r="A31" s="805"/>
      <c r="B31" s="810"/>
      <c r="C31" s="661" t="s">
        <v>252</v>
      </c>
      <c r="D31" s="662">
        <v>1300839</v>
      </c>
      <c r="E31" s="662">
        <v>163853</v>
      </c>
      <c r="F31" s="662">
        <v>1653856</v>
      </c>
      <c r="G31" s="662">
        <v>223188</v>
      </c>
      <c r="H31" s="662">
        <v>1879192</v>
      </c>
      <c r="I31" s="662">
        <v>227307</v>
      </c>
      <c r="J31" s="662">
        <v>1533905</v>
      </c>
      <c r="K31" s="662">
        <v>161151</v>
      </c>
      <c r="L31" s="662">
        <v>1477857</v>
      </c>
      <c r="M31" s="662">
        <v>120744</v>
      </c>
      <c r="N31" s="662">
        <v>114740</v>
      </c>
      <c r="O31" s="662">
        <v>12295</v>
      </c>
      <c r="P31" s="662">
        <v>123022</v>
      </c>
      <c r="Q31" s="663">
        <f t="shared" si="6"/>
        <v>7.2</v>
      </c>
      <c r="R31" s="662">
        <v>11302</v>
      </c>
      <c r="S31" s="663">
        <f t="shared" si="7"/>
        <v>-8.1</v>
      </c>
      <c r="T31" s="662">
        <f t="shared" si="115"/>
        <v>107474</v>
      </c>
      <c r="U31" s="662">
        <f t="shared" si="116"/>
        <v>11588</v>
      </c>
      <c r="V31" s="662">
        <f t="shared" si="117"/>
        <v>136824</v>
      </c>
      <c r="W31" s="663">
        <f t="shared" si="25"/>
        <v>27.3</v>
      </c>
      <c r="X31" s="662">
        <f t="shared" si="118"/>
        <v>6599</v>
      </c>
      <c r="Y31" s="663">
        <f t="shared" si="8"/>
        <v>-43.1</v>
      </c>
      <c r="Z31" s="662">
        <v>222214</v>
      </c>
      <c r="AA31" s="662">
        <v>23883</v>
      </c>
      <c r="AB31" s="662">
        <v>259846</v>
      </c>
      <c r="AC31" s="663">
        <f t="shared" si="9"/>
        <v>16.899999999999999</v>
      </c>
      <c r="AD31" s="662">
        <v>17901</v>
      </c>
      <c r="AE31" s="663">
        <f t="shared" si="10"/>
        <v>-25</v>
      </c>
      <c r="AF31" s="662">
        <f t="shared" si="119"/>
        <v>134012</v>
      </c>
      <c r="AG31" s="662">
        <f t="shared" si="120"/>
        <v>17061</v>
      </c>
      <c r="AH31" s="662">
        <f t="shared" si="121"/>
        <v>170538</v>
      </c>
      <c r="AI31" s="663">
        <f t="shared" si="30"/>
        <v>27.3</v>
      </c>
      <c r="AJ31" s="662">
        <f t="shared" si="122"/>
        <v>14566</v>
      </c>
      <c r="AK31" s="663">
        <f t="shared" si="11"/>
        <v>-14.6</v>
      </c>
      <c r="AL31" s="662">
        <v>356226</v>
      </c>
      <c r="AM31" s="662">
        <v>40944</v>
      </c>
      <c r="AN31" s="662">
        <v>430384</v>
      </c>
      <c r="AO31" s="663">
        <f t="shared" si="12"/>
        <v>20.8</v>
      </c>
      <c r="AP31" s="662">
        <v>32467</v>
      </c>
      <c r="AQ31" s="663">
        <f t="shared" si="13"/>
        <v>-20.7</v>
      </c>
      <c r="AR31" s="662">
        <f t="shared" si="123"/>
        <v>111310</v>
      </c>
      <c r="AS31" s="662">
        <f t="shared" si="124"/>
        <v>8018</v>
      </c>
      <c r="AT31" s="662">
        <f t="shared" si="125"/>
        <v>152451</v>
      </c>
      <c r="AU31" s="663">
        <f t="shared" si="33"/>
        <v>37</v>
      </c>
      <c r="AV31" s="662">
        <f t="shared" si="126"/>
        <v>12230</v>
      </c>
      <c r="AW31" s="663">
        <f t="shared" si="14"/>
        <v>52.5</v>
      </c>
      <c r="AX31" s="662">
        <v>467536</v>
      </c>
      <c r="AY31" s="662">
        <v>48962</v>
      </c>
      <c r="AZ31" s="662">
        <v>582835</v>
      </c>
      <c r="BA31" s="663">
        <f t="shared" si="15"/>
        <v>24.7</v>
      </c>
      <c r="BB31" s="662">
        <v>44697</v>
      </c>
      <c r="BC31" s="663">
        <f t="shared" si="16"/>
        <v>-8.6999999999999993</v>
      </c>
      <c r="BD31" s="662">
        <f t="shared" si="127"/>
        <v>94126</v>
      </c>
      <c r="BE31" s="662">
        <f t="shared" si="127"/>
        <v>8528</v>
      </c>
      <c r="BF31" s="662">
        <f t="shared" si="127"/>
        <v>155949</v>
      </c>
      <c r="BG31" s="663">
        <f t="shared" si="36"/>
        <v>65.7</v>
      </c>
      <c r="BH31" s="662">
        <f t="shared" si="128"/>
        <v>10009</v>
      </c>
      <c r="BI31" s="663">
        <f t="shared" si="17"/>
        <v>17.399999999999999</v>
      </c>
      <c r="BJ31" s="662">
        <v>561662</v>
      </c>
      <c r="BK31" s="662">
        <v>57490</v>
      </c>
      <c r="BL31" s="662">
        <v>738784</v>
      </c>
      <c r="BM31" s="663">
        <f t="shared" si="18"/>
        <v>31.5</v>
      </c>
      <c r="BN31" s="662">
        <v>54706</v>
      </c>
      <c r="BO31" s="663">
        <f t="shared" si="19"/>
        <v>-4.8</v>
      </c>
    </row>
    <row r="32" spans="1:67" ht="21.75" customHeight="1">
      <c r="A32" s="804" t="s">
        <v>258</v>
      </c>
      <c r="B32" s="806" t="s">
        <v>251</v>
      </c>
      <c r="C32" s="126" t="s">
        <v>569</v>
      </c>
      <c r="D32" s="604">
        <v>22240</v>
      </c>
      <c r="E32" s="604">
        <v>715173</v>
      </c>
      <c r="F32" s="604">
        <v>17187</v>
      </c>
      <c r="G32" s="604">
        <v>797149</v>
      </c>
      <c r="H32" s="604">
        <v>13431</v>
      </c>
      <c r="I32" s="604">
        <v>773566</v>
      </c>
      <c r="J32" s="604">
        <v>27805</v>
      </c>
      <c r="K32" s="604">
        <v>885947</v>
      </c>
      <c r="L32" s="604">
        <v>28874</v>
      </c>
      <c r="M32" s="604">
        <v>964764</v>
      </c>
      <c r="N32" s="604">
        <v>2133</v>
      </c>
      <c r="O32" s="604">
        <v>78431</v>
      </c>
      <c r="P32" s="604">
        <v>1529</v>
      </c>
      <c r="Q32" s="593">
        <f t="shared" si="6"/>
        <v>-28.3</v>
      </c>
      <c r="R32" s="604">
        <v>76292</v>
      </c>
      <c r="S32" s="593">
        <f t="shared" si="7"/>
        <v>-2.7</v>
      </c>
      <c r="T32" s="604">
        <f t="shared" si="115"/>
        <v>1180</v>
      </c>
      <c r="U32" s="604">
        <f t="shared" si="116"/>
        <v>76949</v>
      </c>
      <c r="V32" s="604">
        <f t="shared" si="117"/>
        <v>1711</v>
      </c>
      <c r="W32" s="593">
        <f t="shared" si="25"/>
        <v>45</v>
      </c>
      <c r="X32" s="604">
        <f t="shared" si="118"/>
        <v>81461</v>
      </c>
      <c r="Y32" s="593">
        <f t="shared" si="8"/>
        <v>5.9</v>
      </c>
      <c r="Z32" s="604">
        <v>3313</v>
      </c>
      <c r="AA32" s="604">
        <v>155380</v>
      </c>
      <c r="AB32" s="604">
        <v>3240</v>
      </c>
      <c r="AC32" s="593">
        <f t="shared" si="9"/>
        <v>-2.2000000000000002</v>
      </c>
      <c r="AD32" s="604">
        <v>157753</v>
      </c>
      <c r="AE32" s="593">
        <f t="shared" si="10"/>
        <v>1.5</v>
      </c>
      <c r="AF32" s="604">
        <f t="shared" si="119"/>
        <v>1699</v>
      </c>
      <c r="AG32" s="604">
        <f t="shared" si="120"/>
        <v>76557</v>
      </c>
      <c r="AH32" s="604">
        <f t="shared" si="121"/>
        <v>2189</v>
      </c>
      <c r="AI32" s="593">
        <f t="shared" si="30"/>
        <v>28.8</v>
      </c>
      <c r="AJ32" s="604">
        <f t="shared" si="122"/>
        <v>102990</v>
      </c>
      <c r="AK32" s="593">
        <f t="shared" si="11"/>
        <v>34.5</v>
      </c>
      <c r="AL32" s="604">
        <v>5012</v>
      </c>
      <c r="AM32" s="604">
        <v>231937</v>
      </c>
      <c r="AN32" s="604">
        <v>5429</v>
      </c>
      <c r="AO32" s="593">
        <f t="shared" si="12"/>
        <v>8.3000000000000007</v>
      </c>
      <c r="AP32" s="604">
        <v>260743</v>
      </c>
      <c r="AQ32" s="593">
        <f t="shared" si="13"/>
        <v>12.4</v>
      </c>
      <c r="AR32" s="604">
        <f t="shared" si="123"/>
        <v>2064</v>
      </c>
      <c r="AS32" s="604">
        <f t="shared" si="124"/>
        <v>83900</v>
      </c>
      <c r="AT32" s="604">
        <f t="shared" si="125"/>
        <v>3056</v>
      </c>
      <c r="AU32" s="593">
        <f t="shared" si="33"/>
        <v>48.1</v>
      </c>
      <c r="AV32" s="604">
        <f t="shared" si="126"/>
        <v>91678</v>
      </c>
      <c r="AW32" s="593">
        <f t="shared" si="14"/>
        <v>9.3000000000000007</v>
      </c>
      <c r="AX32" s="604">
        <v>7076</v>
      </c>
      <c r="AY32" s="604">
        <v>315837</v>
      </c>
      <c r="AZ32" s="604">
        <v>8485</v>
      </c>
      <c r="BA32" s="593">
        <f t="shared" si="15"/>
        <v>19.899999999999999</v>
      </c>
      <c r="BB32" s="604">
        <v>352421</v>
      </c>
      <c r="BC32" s="593">
        <f t="shared" si="16"/>
        <v>11.6</v>
      </c>
      <c r="BD32" s="604">
        <f t="shared" si="127"/>
        <v>2339</v>
      </c>
      <c r="BE32" s="604">
        <f t="shared" si="127"/>
        <v>73999</v>
      </c>
      <c r="BF32" s="604">
        <f t="shared" si="127"/>
        <v>2932</v>
      </c>
      <c r="BG32" s="593">
        <f t="shared" si="36"/>
        <v>25.4</v>
      </c>
      <c r="BH32" s="604">
        <f t="shared" si="128"/>
        <v>86355</v>
      </c>
      <c r="BI32" s="593">
        <f t="shared" si="17"/>
        <v>16.7</v>
      </c>
      <c r="BJ32" s="604">
        <v>9415</v>
      </c>
      <c r="BK32" s="604">
        <v>389836</v>
      </c>
      <c r="BL32" s="604">
        <v>11417</v>
      </c>
      <c r="BM32" s="593">
        <f t="shared" si="18"/>
        <v>21.3</v>
      </c>
      <c r="BN32" s="604">
        <v>438776</v>
      </c>
      <c r="BO32" s="593">
        <f t="shared" si="19"/>
        <v>12.6</v>
      </c>
    </row>
    <row r="33" spans="1:67" ht="21.75" customHeight="1">
      <c r="A33" s="805"/>
      <c r="B33" s="805"/>
      <c r="C33" s="117" t="s">
        <v>252</v>
      </c>
      <c r="D33" s="118">
        <v>15210</v>
      </c>
      <c r="E33" s="118">
        <v>894719</v>
      </c>
      <c r="F33" s="118">
        <v>15146</v>
      </c>
      <c r="G33" s="118">
        <v>1132521</v>
      </c>
      <c r="H33" s="282">
        <v>21546</v>
      </c>
      <c r="I33" s="282">
        <v>1165392</v>
      </c>
      <c r="J33" s="603">
        <v>33861</v>
      </c>
      <c r="K33" s="603">
        <v>1091571</v>
      </c>
      <c r="L33" s="603">
        <v>33141</v>
      </c>
      <c r="M33" s="603">
        <v>1099536</v>
      </c>
      <c r="N33" s="603">
        <v>2753</v>
      </c>
      <c r="O33" s="603">
        <v>90075</v>
      </c>
      <c r="P33" s="282">
        <v>1999</v>
      </c>
      <c r="Q33" s="119">
        <f t="shared" si="6"/>
        <v>-27.4</v>
      </c>
      <c r="R33" s="282">
        <v>103435</v>
      </c>
      <c r="S33" s="119">
        <f t="shared" si="7"/>
        <v>14.8</v>
      </c>
      <c r="T33" s="282">
        <f t="shared" si="115"/>
        <v>1747</v>
      </c>
      <c r="U33" s="282">
        <f t="shared" si="116"/>
        <v>89813</v>
      </c>
      <c r="V33" s="282">
        <f t="shared" si="117"/>
        <v>2288</v>
      </c>
      <c r="W33" s="119">
        <f t="shared" si="25"/>
        <v>31</v>
      </c>
      <c r="X33" s="282">
        <f t="shared" si="118"/>
        <v>118936</v>
      </c>
      <c r="Y33" s="119">
        <f t="shared" si="8"/>
        <v>32.4</v>
      </c>
      <c r="Z33" s="603">
        <v>4500</v>
      </c>
      <c r="AA33" s="282">
        <v>179888</v>
      </c>
      <c r="AB33" s="603">
        <v>4287</v>
      </c>
      <c r="AC33" s="119">
        <f t="shared" si="9"/>
        <v>-4.7</v>
      </c>
      <c r="AD33" s="282">
        <v>222371</v>
      </c>
      <c r="AE33" s="119">
        <f t="shared" si="10"/>
        <v>23.6</v>
      </c>
      <c r="AF33" s="282">
        <f t="shared" si="119"/>
        <v>2063</v>
      </c>
      <c r="AG33" s="282">
        <f t="shared" si="120"/>
        <v>89339</v>
      </c>
      <c r="AH33" s="282">
        <f t="shared" si="121"/>
        <v>3416</v>
      </c>
      <c r="AI33" s="119">
        <f t="shared" si="30"/>
        <v>65.599999999999994</v>
      </c>
      <c r="AJ33" s="282">
        <f t="shared" si="122"/>
        <v>157919</v>
      </c>
      <c r="AK33" s="119">
        <f t="shared" si="11"/>
        <v>76.8</v>
      </c>
      <c r="AL33" s="603">
        <v>6563</v>
      </c>
      <c r="AM33" s="603">
        <v>269227</v>
      </c>
      <c r="AN33" s="282">
        <v>7703</v>
      </c>
      <c r="AO33" s="119">
        <f t="shared" si="12"/>
        <v>17.399999999999999</v>
      </c>
      <c r="AP33" s="282">
        <v>380290</v>
      </c>
      <c r="AQ33" s="119">
        <f t="shared" si="13"/>
        <v>41.3</v>
      </c>
      <c r="AR33" s="282">
        <f t="shared" si="123"/>
        <v>2053</v>
      </c>
      <c r="AS33" s="282">
        <f t="shared" si="124"/>
        <v>96095</v>
      </c>
      <c r="AT33" s="282">
        <f t="shared" si="125"/>
        <v>4522</v>
      </c>
      <c r="AU33" s="119">
        <f t="shared" si="33"/>
        <v>120.3</v>
      </c>
      <c r="AV33" s="282">
        <f t="shared" si="126"/>
        <v>146208</v>
      </c>
      <c r="AW33" s="119">
        <f t="shared" si="14"/>
        <v>52.1</v>
      </c>
      <c r="AX33" s="603">
        <v>8616</v>
      </c>
      <c r="AY33" s="603">
        <v>365322</v>
      </c>
      <c r="AZ33" s="603">
        <v>12225</v>
      </c>
      <c r="BA33" s="119">
        <f t="shared" si="15"/>
        <v>41.9</v>
      </c>
      <c r="BB33" s="603">
        <v>526498</v>
      </c>
      <c r="BC33" s="119">
        <f t="shared" si="16"/>
        <v>44.1</v>
      </c>
      <c r="BD33" s="282">
        <f t="shared" si="127"/>
        <v>2150</v>
      </c>
      <c r="BE33" s="282">
        <f t="shared" si="127"/>
        <v>80941</v>
      </c>
      <c r="BF33" s="282">
        <f t="shared" si="127"/>
        <v>3353</v>
      </c>
      <c r="BG33" s="119">
        <f t="shared" si="36"/>
        <v>56</v>
      </c>
      <c r="BH33" s="282">
        <f t="shared" si="128"/>
        <v>142317</v>
      </c>
      <c r="BI33" s="119">
        <f t="shared" si="17"/>
        <v>75.8</v>
      </c>
      <c r="BJ33" s="603">
        <v>10766</v>
      </c>
      <c r="BK33" s="603">
        <v>446263</v>
      </c>
      <c r="BL33" s="282">
        <v>15578</v>
      </c>
      <c r="BM33" s="119">
        <f t="shared" si="18"/>
        <v>44.7</v>
      </c>
      <c r="BN33" s="282">
        <v>668815</v>
      </c>
      <c r="BO33" s="119">
        <f t="shared" si="19"/>
        <v>49.9</v>
      </c>
    </row>
    <row r="34" spans="1:67" ht="21.75" customHeight="1">
      <c r="A34" s="805"/>
      <c r="B34" s="805" t="s">
        <v>253</v>
      </c>
      <c r="C34" s="114" t="s">
        <v>569</v>
      </c>
      <c r="D34" s="115">
        <v>93607</v>
      </c>
      <c r="E34" s="115">
        <v>1655344</v>
      </c>
      <c r="F34" s="115">
        <v>133260</v>
      </c>
      <c r="G34" s="115">
        <v>1621431</v>
      </c>
      <c r="H34" s="281">
        <v>216004</v>
      </c>
      <c r="I34" s="281">
        <v>1446299</v>
      </c>
      <c r="J34" s="599">
        <v>216968</v>
      </c>
      <c r="K34" s="599">
        <v>1508451</v>
      </c>
      <c r="L34" s="599">
        <v>360555</v>
      </c>
      <c r="M34" s="599">
        <v>1389821</v>
      </c>
      <c r="N34" s="599">
        <v>24433</v>
      </c>
      <c r="O34" s="599">
        <v>123442</v>
      </c>
      <c r="P34" s="281">
        <v>25171</v>
      </c>
      <c r="Q34" s="116">
        <f t="shared" si="6"/>
        <v>3</v>
      </c>
      <c r="R34" s="281">
        <v>134598</v>
      </c>
      <c r="S34" s="116">
        <f t="shared" si="7"/>
        <v>9</v>
      </c>
      <c r="T34" s="281">
        <f t="shared" si="115"/>
        <v>28631</v>
      </c>
      <c r="U34" s="281">
        <f t="shared" si="116"/>
        <v>110484</v>
      </c>
      <c r="V34" s="281">
        <f t="shared" si="117"/>
        <v>22413</v>
      </c>
      <c r="W34" s="116">
        <f t="shared" si="25"/>
        <v>-21.7</v>
      </c>
      <c r="X34" s="281">
        <f t="shared" si="118"/>
        <v>110093</v>
      </c>
      <c r="Y34" s="116">
        <f t="shared" si="8"/>
        <v>-0.4</v>
      </c>
      <c r="Z34" s="599">
        <v>53064</v>
      </c>
      <c r="AA34" s="281">
        <v>233926</v>
      </c>
      <c r="AB34" s="599">
        <v>47584</v>
      </c>
      <c r="AC34" s="116">
        <f t="shared" si="9"/>
        <v>-10.3</v>
      </c>
      <c r="AD34" s="281">
        <v>244691</v>
      </c>
      <c r="AE34" s="116">
        <f t="shared" si="10"/>
        <v>4.5999999999999996</v>
      </c>
      <c r="AF34" s="281">
        <f t="shared" si="119"/>
        <v>27028</v>
      </c>
      <c r="AG34" s="281">
        <f t="shared" si="120"/>
        <v>117382</v>
      </c>
      <c r="AH34" s="281">
        <f t="shared" si="121"/>
        <v>36612</v>
      </c>
      <c r="AI34" s="116">
        <f t="shared" si="30"/>
        <v>35.5</v>
      </c>
      <c r="AJ34" s="281">
        <f t="shared" si="122"/>
        <v>145166</v>
      </c>
      <c r="AK34" s="116">
        <f t="shared" si="11"/>
        <v>23.7</v>
      </c>
      <c r="AL34" s="599">
        <v>80092</v>
      </c>
      <c r="AM34" s="599">
        <v>351308</v>
      </c>
      <c r="AN34" s="281">
        <v>84196</v>
      </c>
      <c r="AO34" s="116">
        <f t="shared" si="12"/>
        <v>5.0999999999999996</v>
      </c>
      <c r="AP34" s="281">
        <v>389857</v>
      </c>
      <c r="AQ34" s="116">
        <f t="shared" si="13"/>
        <v>11</v>
      </c>
      <c r="AR34" s="281">
        <f t="shared" si="123"/>
        <v>17293</v>
      </c>
      <c r="AS34" s="281">
        <f t="shared" si="124"/>
        <v>121175</v>
      </c>
      <c r="AT34" s="281">
        <f t="shared" si="125"/>
        <v>28372</v>
      </c>
      <c r="AU34" s="116">
        <f t="shared" si="33"/>
        <v>64.099999999999994</v>
      </c>
      <c r="AV34" s="281">
        <f t="shared" si="126"/>
        <v>142903</v>
      </c>
      <c r="AW34" s="116">
        <f t="shared" si="14"/>
        <v>17.899999999999999</v>
      </c>
      <c r="AX34" s="599">
        <v>97385</v>
      </c>
      <c r="AY34" s="599">
        <v>472483</v>
      </c>
      <c r="AZ34" s="599">
        <v>112568</v>
      </c>
      <c r="BA34" s="116">
        <f t="shared" si="15"/>
        <v>15.6</v>
      </c>
      <c r="BB34" s="599">
        <v>532760</v>
      </c>
      <c r="BC34" s="116">
        <f t="shared" si="16"/>
        <v>12.8</v>
      </c>
      <c r="BD34" s="281">
        <f t="shared" si="127"/>
        <v>29663</v>
      </c>
      <c r="BE34" s="281">
        <f t="shared" si="127"/>
        <v>113547</v>
      </c>
      <c r="BF34" s="281">
        <f t="shared" si="127"/>
        <v>32781</v>
      </c>
      <c r="BG34" s="116">
        <f t="shared" si="36"/>
        <v>10.5</v>
      </c>
      <c r="BH34" s="281">
        <f t="shared" si="128"/>
        <v>115813</v>
      </c>
      <c r="BI34" s="116">
        <f t="shared" si="17"/>
        <v>2</v>
      </c>
      <c r="BJ34" s="599">
        <v>127048</v>
      </c>
      <c r="BK34" s="599">
        <v>586030</v>
      </c>
      <c r="BL34" s="281">
        <v>145349</v>
      </c>
      <c r="BM34" s="116">
        <f t="shared" si="18"/>
        <v>14.4</v>
      </c>
      <c r="BN34" s="281">
        <v>648573</v>
      </c>
      <c r="BO34" s="116">
        <f t="shared" si="19"/>
        <v>10.7</v>
      </c>
    </row>
    <row r="35" spans="1:67" ht="21.75" customHeight="1">
      <c r="A35" s="805"/>
      <c r="B35" s="805"/>
      <c r="C35" s="117" t="s">
        <v>252</v>
      </c>
      <c r="D35" s="118">
        <v>192156</v>
      </c>
      <c r="E35" s="118">
        <v>2861003</v>
      </c>
      <c r="F35" s="118">
        <v>298234</v>
      </c>
      <c r="G35" s="118">
        <v>3356874</v>
      </c>
      <c r="H35" s="282">
        <v>520780</v>
      </c>
      <c r="I35" s="282">
        <v>3280302</v>
      </c>
      <c r="J35" s="603">
        <v>445528</v>
      </c>
      <c r="K35" s="603">
        <v>2944236</v>
      </c>
      <c r="L35" s="603">
        <v>635262</v>
      </c>
      <c r="M35" s="603">
        <v>2527213</v>
      </c>
      <c r="N35" s="603">
        <v>44633</v>
      </c>
      <c r="O35" s="603">
        <v>233773</v>
      </c>
      <c r="P35" s="282">
        <v>56581</v>
      </c>
      <c r="Q35" s="119">
        <f t="shared" si="6"/>
        <v>26.8</v>
      </c>
      <c r="R35" s="282">
        <v>288245</v>
      </c>
      <c r="S35" s="119">
        <f t="shared" si="7"/>
        <v>23.3</v>
      </c>
      <c r="T35" s="282">
        <f t="shared" si="115"/>
        <v>52819</v>
      </c>
      <c r="U35" s="282">
        <f t="shared" si="116"/>
        <v>207320</v>
      </c>
      <c r="V35" s="282">
        <f t="shared" si="117"/>
        <v>51251</v>
      </c>
      <c r="W35" s="119">
        <f t="shared" si="25"/>
        <v>-3</v>
      </c>
      <c r="X35" s="282">
        <f t="shared" si="118"/>
        <v>240747</v>
      </c>
      <c r="Y35" s="119">
        <f t="shared" si="8"/>
        <v>16.100000000000001</v>
      </c>
      <c r="Z35" s="603">
        <v>97452</v>
      </c>
      <c r="AA35" s="282">
        <v>441093</v>
      </c>
      <c r="AB35" s="603">
        <v>107832</v>
      </c>
      <c r="AC35" s="119">
        <f t="shared" si="9"/>
        <v>10.7</v>
      </c>
      <c r="AD35" s="282">
        <v>528992</v>
      </c>
      <c r="AE35" s="119">
        <f t="shared" si="10"/>
        <v>19.899999999999999</v>
      </c>
      <c r="AF35" s="282">
        <f t="shared" si="119"/>
        <v>48995</v>
      </c>
      <c r="AG35" s="282">
        <f t="shared" si="120"/>
        <v>212313</v>
      </c>
      <c r="AH35" s="282">
        <f t="shared" si="121"/>
        <v>85257</v>
      </c>
      <c r="AI35" s="119">
        <f t="shared" si="30"/>
        <v>74</v>
      </c>
      <c r="AJ35" s="282">
        <f t="shared" si="122"/>
        <v>330589</v>
      </c>
      <c r="AK35" s="119">
        <f t="shared" si="11"/>
        <v>55.7</v>
      </c>
      <c r="AL35" s="603">
        <v>146447</v>
      </c>
      <c r="AM35" s="603">
        <v>653406</v>
      </c>
      <c r="AN35" s="282">
        <v>193089</v>
      </c>
      <c r="AO35" s="119">
        <f t="shared" si="12"/>
        <v>31.8</v>
      </c>
      <c r="AP35" s="282">
        <v>859581</v>
      </c>
      <c r="AQ35" s="119">
        <f t="shared" si="13"/>
        <v>31.6</v>
      </c>
      <c r="AR35" s="282">
        <f t="shared" si="123"/>
        <v>29416</v>
      </c>
      <c r="AS35" s="282">
        <f t="shared" si="124"/>
        <v>208191</v>
      </c>
      <c r="AT35" s="282">
        <f t="shared" si="125"/>
        <v>68738</v>
      </c>
      <c r="AU35" s="119">
        <f t="shared" si="33"/>
        <v>133.69999999999999</v>
      </c>
      <c r="AV35" s="282">
        <f t="shared" si="126"/>
        <v>336894</v>
      </c>
      <c r="AW35" s="119">
        <f t="shared" si="14"/>
        <v>61.8</v>
      </c>
      <c r="AX35" s="603">
        <v>175863</v>
      </c>
      <c r="AY35" s="603">
        <v>861597</v>
      </c>
      <c r="AZ35" s="603">
        <v>261827</v>
      </c>
      <c r="BA35" s="119">
        <f t="shared" si="15"/>
        <v>48.9</v>
      </c>
      <c r="BB35" s="603">
        <v>1196475</v>
      </c>
      <c r="BC35" s="119">
        <f t="shared" si="16"/>
        <v>38.9</v>
      </c>
      <c r="BD35" s="282">
        <f t="shared" si="127"/>
        <v>46807</v>
      </c>
      <c r="BE35" s="282">
        <f t="shared" si="127"/>
        <v>186591</v>
      </c>
      <c r="BF35" s="282">
        <f t="shared" si="127"/>
        <v>80753</v>
      </c>
      <c r="BG35" s="119">
        <f t="shared" si="36"/>
        <v>72.5</v>
      </c>
      <c r="BH35" s="282">
        <f t="shared" si="128"/>
        <v>288462</v>
      </c>
      <c r="BI35" s="119">
        <f t="shared" si="17"/>
        <v>54.6</v>
      </c>
      <c r="BJ35" s="603">
        <v>222670</v>
      </c>
      <c r="BK35" s="603">
        <v>1048188</v>
      </c>
      <c r="BL35" s="282">
        <v>342580</v>
      </c>
      <c r="BM35" s="119">
        <f t="shared" si="18"/>
        <v>53.9</v>
      </c>
      <c r="BN35" s="282">
        <v>1484937</v>
      </c>
      <c r="BO35" s="119">
        <f t="shared" si="19"/>
        <v>41.7</v>
      </c>
    </row>
    <row r="36" spans="1:67" ht="21.75" customHeight="1">
      <c r="A36" s="805"/>
      <c r="B36" s="809" t="s">
        <v>254</v>
      </c>
      <c r="C36" s="114" t="s">
        <v>569</v>
      </c>
      <c r="D36" s="115">
        <f t="shared" ref="D36:F37" si="129">D38-D32-D34</f>
        <v>682678</v>
      </c>
      <c r="E36" s="115">
        <f>E38-E32-E34</f>
        <v>339772</v>
      </c>
      <c r="F36" s="115">
        <f t="shared" si="129"/>
        <v>732958</v>
      </c>
      <c r="G36" s="115">
        <f t="shared" ref="G36:J37" si="130">G38-G32-G34</f>
        <v>441457</v>
      </c>
      <c r="H36" s="281">
        <f t="shared" si="130"/>
        <v>793121</v>
      </c>
      <c r="I36" s="281">
        <f t="shared" si="130"/>
        <v>609903</v>
      </c>
      <c r="J36" s="599">
        <f t="shared" si="130"/>
        <v>839459</v>
      </c>
      <c r="K36" s="599">
        <f>K38-K32-K34</f>
        <v>547238</v>
      </c>
      <c r="L36" s="599">
        <f t="shared" ref="L36" si="131">L38-L32-L34</f>
        <v>834075</v>
      </c>
      <c r="M36" s="599">
        <f>M38-M32-M34</f>
        <v>495967</v>
      </c>
      <c r="N36" s="599">
        <f t="shared" ref="N36" si="132">N38-N32-N34</f>
        <v>67956</v>
      </c>
      <c r="O36" s="599">
        <f>O38-O32-O34</f>
        <v>40747</v>
      </c>
      <c r="P36" s="599">
        <f>P38-P32-P34</f>
        <v>71134</v>
      </c>
      <c r="Q36" s="116">
        <f t="shared" si="6"/>
        <v>4.7</v>
      </c>
      <c r="R36" s="599">
        <f>R38-R32-R34</f>
        <v>38552</v>
      </c>
      <c r="S36" s="116">
        <f t="shared" si="7"/>
        <v>-5.4</v>
      </c>
      <c r="T36" s="281">
        <f t="shared" ref="T36:V37" si="133">T38-T32-T34</f>
        <v>69215</v>
      </c>
      <c r="U36" s="281">
        <f t="shared" si="133"/>
        <v>28556</v>
      </c>
      <c r="V36" s="281">
        <f t="shared" si="133"/>
        <v>64477</v>
      </c>
      <c r="W36" s="116">
        <f t="shared" si="25"/>
        <v>-6.8</v>
      </c>
      <c r="X36" s="281">
        <f>X38-X32-X34</f>
        <v>37544</v>
      </c>
      <c r="Y36" s="116">
        <f t="shared" si="8"/>
        <v>31.5</v>
      </c>
      <c r="Z36" s="599">
        <f t="shared" ref="Z36" si="134">Z38-Z32-Z34</f>
        <v>137171</v>
      </c>
      <c r="AA36" s="281">
        <f t="shared" ref="AA36:AB37" si="135">AA38-AA32-AA34</f>
        <v>69303</v>
      </c>
      <c r="AB36" s="599">
        <f t="shared" si="135"/>
        <v>135611</v>
      </c>
      <c r="AC36" s="116">
        <f t="shared" si="9"/>
        <v>-1.1000000000000001</v>
      </c>
      <c r="AD36" s="599">
        <f t="shared" ref="AD36" si="136">AD38-AD32-AD34</f>
        <v>76096</v>
      </c>
      <c r="AE36" s="116">
        <f t="shared" si="10"/>
        <v>9.8000000000000007</v>
      </c>
      <c r="AF36" s="281">
        <f t="shared" ref="AF36:AH37" si="137">AF38-AF32-AF34</f>
        <v>76670</v>
      </c>
      <c r="AG36" s="281">
        <f t="shared" si="137"/>
        <v>45140</v>
      </c>
      <c r="AH36" s="281">
        <f t="shared" si="137"/>
        <v>78981</v>
      </c>
      <c r="AI36" s="116">
        <f t="shared" si="30"/>
        <v>3</v>
      </c>
      <c r="AJ36" s="281">
        <f>AJ38-AJ32-AJ34</f>
        <v>49702</v>
      </c>
      <c r="AK36" s="116">
        <f t="shared" si="11"/>
        <v>10.1</v>
      </c>
      <c r="AL36" s="599">
        <f t="shared" ref="AL36" si="138">AL38-AL32-AL34</f>
        <v>213841</v>
      </c>
      <c r="AM36" s="599">
        <f>AM38-AM32-AM34</f>
        <v>114443</v>
      </c>
      <c r="AN36" s="599">
        <f>AN38-AN32-AN34</f>
        <v>214592</v>
      </c>
      <c r="AO36" s="116">
        <f t="shared" si="12"/>
        <v>0.4</v>
      </c>
      <c r="AP36" s="599">
        <f>AP38-AP32-AP34</f>
        <v>125798</v>
      </c>
      <c r="AQ36" s="116">
        <f t="shared" si="13"/>
        <v>9.9</v>
      </c>
      <c r="AR36" s="281">
        <f t="shared" ref="AR36:AT36" si="139">AR38-AR32-AR34</f>
        <v>70595</v>
      </c>
      <c r="AS36" s="281">
        <f t="shared" si="139"/>
        <v>48598</v>
      </c>
      <c r="AT36" s="281">
        <f t="shared" si="139"/>
        <v>80151</v>
      </c>
      <c r="AU36" s="116">
        <f t="shared" si="33"/>
        <v>13.5</v>
      </c>
      <c r="AV36" s="281">
        <f>AV38-AV32-AV34</f>
        <v>48219</v>
      </c>
      <c r="AW36" s="116">
        <f t="shared" si="14"/>
        <v>-0.8</v>
      </c>
      <c r="AX36" s="599">
        <f t="shared" ref="AX36" si="140">AX38-AX32-AX34</f>
        <v>284436</v>
      </c>
      <c r="AY36" s="599">
        <f>AY38-AY32-AY34</f>
        <v>163041</v>
      </c>
      <c r="AZ36" s="599">
        <f>AZ38-AZ32-AZ34</f>
        <v>294743</v>
      </c>
      <c r="BA36" s="116">
        <f t="shared" si="15"/>
        <v>3.6</v>
      </c>
      <c r="BB36" s="599">
        <f>BB38-BB32-BB34</f>
        <v>174017</v>
      </c>
      <c r="BC36" s="116">
        <f t="shared" si="16"/>
        <v>6.7</v>
      </c>
      <c r="BD36" s="281">
        <f t="shared" ref="BD36:BF37" si="141">BD38-BD32-BD34</f>
        <v>61476</v>
      </c>
      <c r="BE36" s="281">
        <f t="shared" si="141"/>
        <v>45249</v>
      </c>
      <c r="BF36" s="281">
        <f t="shared" si="141"/>
        <v>77498</v>
      </c>
      <c r="BG36" s="116">
        <f t="shared" si="36"/>
        <v>26.1</v>
      </c>
      <c r="BH36" s="281">
        <f>BH38-BH32-BH34</f>
        <v>45825</v>
      </c>
      <c r="BI36" s="116">
        <f t="shared" si="17"/>
        <v>1.3</v>
      </c>
      <c r="BJ36" s="599">
        <f t="shared" ref="BJ36:BJ37" si="142">BJ38-BJ32-BJ34</f>
        <v>345912</v>
      </c>
      <c r="BK36" s="599">
        <f>BK38-BK32-BK34</f>
        <v>208290</v>
      </c>
      <c r="BL36" s="599">
        <f>BL38-BL32-BL34</f>
        <v>372241</v>
      </c>
      <c r="BM36" s="116">
        <f t="shared" si="18"/>
        <v>7.6</v>
      </c>
      <c r="BN36" s="599">
        <f>BN38-BN32-BN34</f>
        <v>219842</v>
      </c>
      <c r="BO36" s="116">
        <f t="shared" si="19"/>
        <v>5.5</v>
      </c>
    </row>
    <row r="37" spans="1:67" ht="21.75" customHeight="1">
      <c r="A37" s="805"/>
      <c r="B37" s="805"/>
      <c r="C37" s="117" t="s">
        <v>252</v>
      </c>
      <c r="D37" s="118">
        <f t="shared" si="129"/>
        <v>2370318</v>
      </c>
      <c r="E37" s="118">
        <f>E39-E33-E35</f>
        <v>1665976</v>
      </c>
      <c r="F37" s="118">
        <f t="shared" si="129"/>
        <v>2710277</v>
      </c>
      <c r="G37" s="118">
        <f t="shared" si="130"/>
        <v>1972882</v>
      </c>
      <c r="H37" s="282">
        <f t="shared" si="130"/>
        <v>3111700</v>
      </c>
      <c r="I37" s="282">
        <f t="shared" si="130"/>
        <v>2511187</v>
      </c>
      <c r="J37" s="603">
        <f t="shared" si="130"/>
        <v>3043021</v>
      </c>
      <c r="K37" s="603">
        <f>K39-K33-K35</f>
        <v>2260179</v>
      </c>
      <c r="L37" s="603">
        <f t="shared" ref="L37" si="143">L39-L33-L35</f>
        <v>2950112</v>
      </c>
      <c r="M37" s="603">
        <f>M39-M33-M35</f>
        <v>2127451</v>
      </c>
      <c r="N37" s="603">
        <f t="shared" ref="N37" si="144">N39-N33-N35</f>
        <v>244590</v>
      </c>
      <c r="O37" s="603">
        <f>O39-O33-O35</f>
        <v>176313</v>
      </c>
      <c r="P37" s="603">
        <f>P39-P33-P35</f>
        <v>278959</v>
      </c>
      <c r="Q37" s="119">
        <f t="shared" si="6"/>
        <v>14.1</v>
      </c>
      <c r="R37" s="603">
        <f>R39-R33-R35</f>
        <v>176663</v>
      </c>
      <c r="S37" s="119">
        <f t="shared" si="7"/>
        <v>0.2</v>
      </c>
      <c r="T37" s="282">
        <f t="shared" si="133"/>
        <v>240972</v>
      </c>
      <c r="U37" s="282">
        <f t="shared" si="133"/>
        <v>137409</v>
      </c>
      <c r="V37" s="282">
        <f t="shared" si="133"/>
        <v>254267</v>
      </c>
      <c r="W37" s="119">
        <f t="shared" si="25"/>
        <v>5.5</v>
      </c>
      <c r="X37" s="282">
        <f>X39-X33-X35</f>
        <v>172756</v>
      </c>
      <c r="Y37" s="119">
        <f t="shared" si="8"/>
        <v>25.7</v>
      </c>
      <c r="Z37" s="603">
        <f t="shared" ref="Z37" si="145">Z39-Z33-Z35</f>
        <v>485562</v>
      </c>
      <c r="AA37" s="282">
        <f t="shared" si="135"/>
        <v>313722</v>
      </c>
      <c r="AB37" s="603">
        <f t="shared" si="135"/>
        <v>533226</v>
      </c>
      <c r="AC37" s="119">
        <f t="shared" si="9"/>
        <v>9.8000000000000007</v>
      </c>
      <c r="AD37" s="603">
        <f t="shared" ref="AD37" si="146">AD39-AD33-AD35</f>
        <v>349419</v>
      </c>
      <c r="AE37" s="119">
        <f t="shared" si="10"/>
        <v>11.4</v>
      </c>
      <c r="AF37" s="282">
        <f t="shared" si="137"/>
        <v>270869</v>
      </c>
      <c r="AG37" s="282">
        <f t="shared" si="137"/>
        <v>198606</v>
      </c>
      <c r="AH37" s="282">
        <f t="shared" si="137"/>
        <v>308199</v>
      </c>
      <c r="AI37" s="119">
        <f t="shared" si="30"/>
        <v>13.8</v>
      </c>
      <c r="AJ37" s="282">
        <f>AJ39-AJ33-AJ35</f>
        <v>224820</v>
      </c>
      <c r="AK37" s="119">
        <f t="shared" si="11"/>
        <v>13.2</v>
      </c>
      <c r="AL37" s="603">
        <f t="shared" ref="AL37" si="147">AL39-AL33-AL35</f>
        <v>756431</v>
      </c>
      <c r="AM37" s="603">
        <f>AM39-AM33-AM35</f>
        <v>512328</v>
      </c>
      <c r="AN37" s="603">
        <f>AN39-AN33-AN35</f>
        <v>841425</v>
      </c>
      <c r="AO37" s="119">
        <f t="shared" si="12"/>
        <v>11.2</v>
      </c>
      <c r="AP37" s="603">
        <f>AP39-AP33-AP35</f>
        <v>574239</v>
      </c>
      <c r="AQ37" s="119">
        <f t="shared" si="13"/>
        <v>12.1</v>
      </c>
      <c r="AR37" s="282">
        <f t="shared" ref="AR37:AT37" si="148">AR39-AR33-AR35</f>
        <v>239840</v>
      </c>
      <c r="AS37" s="282">
        <f t="shared" si="148"/>
        <v>192761</v>
      </c>
      <c r="AT37" s="282">
        <f t="shared" si="148"/>
        <v>323747</v>
      </c>
      <c r="AU37" s="119">
        <f t="shared" si="33"/>
        <v>35</v>
      </c>
      <c r="AV37" s="282">
        <f>AV39-AV33-AV35</f>
        <v>225006</v>
      </c>
      <c r="AW37" s="119">
        <f t="shared" si="14"/>
        <v>16.7</v>
      </c>
      <c r="AX37" s="603">
        <f t="shared" ref="AX37" si="149">AX39-AX33-AX35</f>
        <v>996271</v>
      </c>
      <c r="AY37" s="603">
        <f>AY39-AY33-AY35</f>
        <v>705089</v>
      </c>
      <c r="AZ37" s="603">
        <f>AZ39-AZ33-AZ35</f>
        <v>1165172</v>
      </c>
      <c r="BA37" s="119">
        <f t="shared" si="15"/>
        <v>17</v>
      </c>
      <c r="BB37" s="603">
        <f>BB39-BB33-BB35</f>
        <v>799245</v>
      </c>
      <c r="BC37" s="119">
        <f t="shared" si="16"/>
        <v>13.4</v>
      </c>
      <c r="BD37" s="282">
        <f t="shared" si="141"/>
        <v>203250</v>
      </c>
      <c r="BE37" s="282">
        <f t="shared" si="141"/>
        <v>180351</v>
      </c>
      <c r="BF37" s="282">
        <f t="shared" si="141"/>
        <v>320579</v>
      </c>
      <c r="BG37" s="119">
        <f t="shared" si="36"/>
        <v>57.7</v>
      </c>
      <c r="BH37" s="282">
        <f>BH39-BH33-BH35</f>
        <v>207823</v>
      </c>
      <c r="BI37" s="119">
        <f t="shared" si="17"/>
        <v>15.2</v>
      </c>
      <c r="BJ37" s="603">
        <f t="shared" si="142"/>
        <v>1199521</v>
      </c>
      <c r="BK37" s="603">
        <f>BK39-BK33-BK35</f>
        <v>885440</v>
      </c>
      <c r="BL37" s="603">
        <f>BL39-BL33-BL35</f>
        <v>1485751</v>
      </c>
      <c r="BM37" s="119">
        <f t="shared" si="18"/>
        <v>23.9</v>
      </c>
      <c r="BN37" s="603">
        <f>BN39-BN33-BN35</f>
        <v>1007068</v>
      </c>
      <c r="BO37" s="119">
        <f t="shared" si="19"/>
        <v>13.7</v>
      </c>
    </row>
    <row r="38" spans="1:67" ht="21.75" customHeight="1">
      <c r="A38" s="805"/>
      <c r="B38" s="810" t="s">
        <v>255</v>
      </c>
      <c r="C38" s="120" t="s">
        <v>569</v>
      </c>
      <c r="D38" s="283">
        <v>798525</v>
      </c>
      <c r="E38" s="283">
        <v>2710289</v>
      </c>
      <c r="F38" s="283">
        <v>883405</v>
      </c>
      <c r="G38" s="283">
        <v>2860037</v>
      </c>
      <c r="H38" s="283">
        <v>1022556</v>
      </c>
      <c r="I38" s="283">
        <v>2829768</v>
      </c>
      <c r="J38" s="601">
        <v>1084232</v>
      </c>
      <c r="K38" s="601">
        <v>2941636</v>
      </c>
      <c r="L38" s="601">
        <v>1223504</v>
      </c>
      <c r="M38" s="601">
        <v>2850552</v>
      </c>
      <c r="N38" s="601">
        <v>94522</v>
      </c>
      <c r="O38" s="601">
        <v>242620</v>
      </c>
      <c r="P38" s="283">
        <v>97834</v>
      </c>
      <c r="Q38" s="122">
        <f t="shared" si="6"/>
        <v>3.5</v>
      </c>
      <c r="R38" s="283">
        <v>249442</v>
      </c>
      <c r="S38" s="122">
        <f t="shared" si="7"/>
        <v>2.8</v>
      </c>
      <c r="T38" s="283">
        <f t="shared" ref="T38:T43" si="150">Z38-N38</f>
        <v>99026</v>
      </c>
      <c r="U38" s="283">
        <f t="shared" ref="U38:U43" si="151">AA38-O38</f>
        <v>215989</v>
      </c>
      <c r="V38" s="283">
        <f t="shared" ref="V38:V43" si="152">AB38-P38</f>
        <v>88601</v>
      </c>
      <c r="W38" s="122">
        <f t="shared" si="25"/>
        <v>-10.5</v>
      </c>
      <c r="X38" s="283">
        <f t="shared" ref="X38:X43" si="153">AD38-R38</f>
        <v>229098</v>
      </c>
      <c r="Y38" s="122">
        <f t="shared" si="8"/>
        <v>6.1</v>
      </c>
      <c r="Z38" s="601">
        <v>193548</v>
      </c>
      <c r="AA38" s="283">
        <v>458609</v>
      </c>
      <c r="AB38" s="601">
        <v>186435</v>
      </c>
      <c r="AC38" s="122">
        <f t="shared" si="9"/>
        <v>-3.7</v>
      </c>
      <c r="AD38" s="283">
        <v>478540</v>
      </c>
      <c r="AE38" s="122">
        <f t="shared" si="10"/>
        <v>4.3</v>
      </c>
      <c r="AF38" s="283">
        <f t="shared" ref="AF38:AF43" si="154">AL38-Z38</f>
        <v>105397</v>
      </c>
      <c r="AG38" s="283">
        <f t="shared" ref="AG38:AG43" si="155">AM38-AA38</f>
        <v>239079</v>
      </c>
      <c r="AH38" s="283">
        <f t="shared" ref="AH38:AH43" si="156">AN38-AB38</f>
        <v>117782</v>
      </c>
      <c r="AI38" s="122">
        <f t="shared" si="30"/>
        <v>11.8</v>
      </c>
      <c r="AJ38" s="283">
        <f t="shared" ref="AJ38:AJ43" si="157">AP38-AD38</f>
        <v>297858</v>
      </c>
      <c r="AK38" s="122">
        <f t="shared" si="11"/>
        <v>24.6</v>
      </c>
      <c r="AL38" s="601">
        <v>298945</v>
      </c>
      <c r="AM38" s="601">
        <v>697688</v>
      </c>
      <c r="AN38" s="283">
        <v>304217</v>
      </c>
      <c r="AO38" s="122">
        <f t="shared" si="12"/>
        <v>1.8</v>
      </c>
      <c r="AP38" s="283">
        <v>776398</v>
      </c>
      <c r="AQ38" s="122">
        <f t="shared" si="13"/>
        <v>11.3</v>
      </c>
      <c r="AR38" s="283">
        <f t="shared" ref="AR38:AR43" si="158">AX38-AL38</f>
        <v>89952</v>
      </c>
      <c r="AS38" s="283">
        <f t="shared" ref="AS38:AS43" si="159">AY38-AM38</f>
        <v>253673</v>
      </c>
      <c r="AT38" s="283">
        <f t="shared" ref="AT38:AT43" si="160">AZ38-AN38</f>
        <v>111579</v>
      </c>
      <c r="AU38" s="122">
        <f t="shared" si="33"/>
        <v>24</v>
      </c>
      <c r="AV38" s="283">
        <f t="shared" ref="AV38:AV43" si="161">BB38-AP38</f>
        <v>282800</v>
      </c>
      <c r="AW38" s="122">
        <f t="shared" si="14"/>
        <v>11.5</v>
      </c>
      <c r="AX38" s="601">
        <v>388897</v>
      </c>
      <c r="AY38" s="601">
        <v>951361</v>
      </c>
      <c r="AZ38" s="601">
        <v>415796</v>
      </c>
      <c r="BA38" s="122">
        <f t="shared" si="15"/>
        <v>6.9</v>
      </c>
      <c r="BB38" s="601">
        <v>1059198</v>
      </c>
      <c r="BC38" s="122">
        <f t="shared" si="16"/>
        <v>11.3</v>
      </c>
      <c r="BD38" s="283">
        <f t="shared" ref="BD38:BF43" si="162">BJ38-AX38</f>
        <v>93478</v>
      </c>
      <c r="BE38" s="283">
        <f t="shared" si="162"/>
        <v>232795</v>
      </c>
      <c r="BF38" s="283">
        <f t="shared" si="162"/>
        <v>113211</v>
      </c>
      <c r="BG38" s="122">
        <f t="shared" si="36"/>
        <v>21.1</v>
      </c>
      <c r="BH38" s="283">
        <f t="shared" ref="BH38:BH43" si="163">BN38-BB38</f>
        <v>247993</v>
      </c>
      <c r="BI38" s="122">
        <f t="shared" si="17"/>
        <v>6.5</v>
      </c>
      <c r="BJ38" s="601">
        <v>482375</v>
      </c>
      <c r="BK38" s="601">
        <v>1184156</v>
      </c>
      <c r="BL38" s="283">
        <v>529007</v>
      </c>
      <c r="BM38" s="122">
        <f t="shared" si="18"/>
        <v>9.6999999999999993</v>
      </c>
      <c r="BN38" s="283">
        <v>1307191</v>
      </c>
      <c r="BO38" s="122">
        <f t="shared" si="19"/>
        <v>10.4</v>
      </c>
    </row>
    <row r="39" spans="1:67" ht="21.75" customHeight="1" thickBot="1">
      <c r="A39" s="811"/>
      <c r="B39" s="812"/>
      <c r="C39" s="123" t="s">
        <v>8</v>
      </c>
      <c r="D39" s="284">
        <v>2577684</v>
      </c>
      <c r="E39" s="284">
        <v>5421698</v>
      </c>
      <c r="F39" s="284">
        <v>3023657</v>
      </c>
      <c r="G39" s="284">
        <v>6462277</v>
      </c>
      <c r="H39" s="284">
        <v>3654026</v>
      </c>
      <c r="I39" s="284">
        <v>6956881</v>
      </c>
      <c r="J39" s="602">
        <v>3522410</v>
      </c>
      <c r="K39" s="602">
        <v>6295986</v>
      </c>
      <c r="L39" s="602">
        <v>3618515</v>
      </c>
      <c r="M39" s="602">
        <v>5754200</v>
      </c>
      <c r="N39" s="602">
        <v>291976</v>
      </c>
      <c r="O39" s="602">
        <v>500161</v>
      </c>
      <c r="P39" s="284">
        <v>337539</v>
      </c>
      <c r="Q39" s="125">
        <f t="shared" si="6"/>
        <v>15.6</v>
      </c>
      <c r="R39" s="284">
        <v>568343</v>
      </c>
      <c r="S39" s="125">
        <f t="shared" si="7"/>
        <v>13.6</v>
      </c>
      <c r="T39" s="284">
        <f t="shared" si="150"/>
        <v>295538</v>
      </c>
      <c r="U39" s="284">
        <f t="shared" si="151"/>
        <v>434542</v>
      </c>
      <c r="V39" s="284">
        <f t="shared" si="152"/>
        <v>307806</v>
      </c>
      <c r="W39" s="125">
        <f t="shared" si="25"/>
        <v>4.2</v>
      </c>
      <c r="X39" s="284">
        <f t="shared" si="153"/>
        <v>532439</v>
      </c>
      <c r="Y39" s="125">
        <f t="shared" si="8"/>
        <v>22.5</v>
      </c>
      <c r="Z39" s="602">
        <v>587514</v>
      </c>
      <c r="AA39" s="284">
        <v>934703</v>
      </c>
      <c r="AB39" s="602">
        <v>645345</v>
      </c>
      <c r="AC39" s="125">
        <f t="shared" si="9"/>
        <v>9.8000000000000007</v>
      </c>
      <c r="AD39" s="284">
        <v>1100782</v>
      </c>
      <c r="AE39" s="125">
        <f t="shared" si="10"/>
        <v>17.8</v>
      </c>
      <c r="AF39" s="284">
        <f t="shared" si="154"/>
        <v>321927</v>
      </c>
      <c r="AG39" s="284">
        <f t="shared" si="155"/>
        <v>500258</v>
      </c>
      <c r="AH39" s="284">
        <f t="shared" si="156"/>
        <v>396872</v>
      </c>
      <c r="AI39" s="125">
        <f t="shared" si="30"/>
        <v>23.3</v>
      </c>
      <c r="AJ39" s="284">
        <f t="shared" si="157"/>
        <v>713328</v>
      </c>
      <c r="AK39" s="125">
        <f t="shared" si="11"/>
        <v>42.6</v>
      </c>
      <c r="AL39" s="602">
        <v>909441</v>
      </c>
      <c r="AM39" s="602">
        <v>1434961</v>
      </c>
      <c r="AN39" s="284">
        <v>1042217</v>
      </c>
      <c r="AO39" s="125">
        <f t="shared" si="12"/>
        <v>14.6</v>
      </c>
      <c r="AP39" s="284">
        <v>1814110</v>
      </c>
      <c r="AQ39" s="125">
        <f t="shared" si="13"/>
        <v>26.4</v>
      </c>
      <c r="AR39" s="284">
        <f t="shared" si="158"/>
        <v>271309</v>
      </c>
      <c r="AS39" s="284">
        <f t="shared" si="159"/>
        <v>497047</v>
      </c>
      <c r="AT39" s="284">
        <f t="shared" si="160"/>
        <v>397007</v>
      </c>
      <c r="AU39" s="125">
        <f t="shared" si="33"/>
        <v>46.3</v>
      </c>
      <c r="AV39" s="284">
        <f t="shared" si="161"/>
        <v>708108</v>
      </c>
      <c r="AW39" s="125">
        <f t="shared" si="14"/>
        <v>42.5</v>
      </c>
      <c r="AX39" s="602">
        <v>1180750</v>
      </c>
      <c r="AY39" s="602">
        <v>1932008</v>
      </c>
      <c r="AZ39" s="602">
        <v>1439224</v>
      </c>
      <c r="BA39" s="125">
        <f t="shared" si="15"/>
        <v>21.9</v>
      </c>
      <c r="BB39" s="602">
        <v>2522218</v>
      </c>
      <c r="BC39" s="125">
        <f t="shared" si="16"/>
        <v>30.5</v>
      </c>
      <c r="BD39" s="284">
        <f t="shared" si="162"/>
        <v>252207</v>
      </c>
      <c r="BE39" s="284">
        <f t="shared" si="162"/>
        <v>447883</v>
      </c>
      <c r="BF39" s="284">
        <f t="shared" si="162"/>
        <v>404685</v>
      </c>
      <c r="BG39" s="125">
        <f t="shared" si="36"/>
        <v>60.5</v>
      </c>
      <c r="BH39" s="284">
        <f t="shared" si="163"/>
        <v>638602</v>
      </c>
      <c r="BI39" s="125">
        <f t="shared" si="17"/>
        <v>42.6</v>
      </c>
      <c r="BJ39" s="602">
        <v>1432957</v>
      </c>
      <c r="BK39" s="602">
        <v>2379891</v>
      </c>
      <c r="BL39" s="284">
        <v>1843909</v>
      </c>
      <c r="BM39" s="125">
        <f t="shared" si="18"/>
        <v>28.7</v>
      </c>
      <c r="BN39" s="284">
        <v>3160820</v>
      </c>
      <c r="BO39" s="125">
        <f t="shared" si="19"/>
        <v>32.799999999999997</v>
      </c>
    </row>
    <row r="40" spans="1:67" ht="21.75" customHeight="1" thickTop="1">
      <c r="A40" s="807" t="s">
        <v>259</v>
      </c>
      <c r="B40" s="808" t="s">
        <v>251</v>
      </c>
      <c r="C40" s="129" t="s">
        <v>569</v>
      </c>
      <c r="D40" s="130">
        <v>7102</v>
      </c>
      <c r="E40" s="130">
        <v>1048</v>
      </c>
      <c r="F40" s="130">
        <v>7294</v>
      </c>
      <c r="G40" s="130">
        <v>1389</v>
      </c>
      <c r="H40" s="286">
        <v>7619</v>
      </c>
      <c r="I40" s="286">
        <v>2123</v>
      </c>
      <c r="J40" s="600">
        <v>11012</v>
      </c>
      <c r="K40" s="600">
        <v>2660</v>
      </c>
      <c r="L40" s="600">
        <v>8743</v>
      </c>
      <c r="M40" s="600">
        <v>4551</v>
      </c>
      <c r="N40" s="600">
        <v>538</v>
      </c>
      <c r="O40" s="600">
        <v>484</v>
      </c>
      <c r="P40" s="286">
        <v>601</v>
      </c>
      <c r="Q40" s="131">
        <f t="shared" si="6"/>
        <v>11.7</v>
      </c>
      <c r="R40" s="286">
        <v>228</v>
      </c>
      <c r="S40" s="131">
        <f t="shared" si="7"/>
        <v>-52.9</v>
      </c>
      <c r="T40" s="286">
        <f t="shared" si="150"/>
        <v>624</v>
      </c>
      <c r="U40" s="286">
        <f t="shared" si="151"/>
        <v>367</v>
      </c>
      <c r="V40" s="286">
        <f t="shared" si="152"/>
        <v>836</v>
      </c>
      <c r="W40" s="131">
        <f t="shared" si="25"/>
        <v>34</v>
      </c>
      <c r="X40" s="286">
        <f t="shared" si="153"/>
        <v>288</v>
      </c>
      <c r="Y40" s="131">
        <f t="shared" si="8"/>
        <v>-21.5</v>
      </c>
      <c r="Z40" s="600">
        <v>1162</v>
      </c>
      <c r="AA40" s="286">
        <v>851</v>
      </c>
      <c r="AB40" s="600">
        <v>1437</v>
      </c>
      <c r="AC40" s="131">
        <f t="shared" si="9"/>
        <v>23.7</v>
      </c>
      <c r="AD40" s="286">
        <v>516</v>
      </c>
      <c r="AE40" s="131">
        <f t="shared" si="10"/>
        <v>-39.4</v>
      </c>
      <c r="AF40" s="286">
        <f t="shared" si="154"/>
        <v>784</v>
      </c>
      <c r="AG40" s="286">
        <f t="shared" si="155"/>
        <v>98</v>
      </c>
      <c r="AH40" s="286">
        <f t="shared" si="156"/>
        <v>473</v>
      </c>
      <c r="AI40" s="131">
        <f t="shared" si="30"/>
        <v>-39.700000000000003</v>
      </c>
      <c r="AJ40" s="286">
        <f t="shared" si="157"/>
        <v>383</v>
      </c>
      <c r="AK40" s="131">
        <f t="shared" si="11"/>
        <v>290.8</v>
      </c>
      <c r="AL40" s="600">
        <v>1946</v>
      </c>
      <c r="AM40" s="600">
        <v>949</v>
      </c>
      <c r="AN40" s="286">
        <v>1910</v>
      </c>
      <c r="AO40" s="131">
        <f t="shared" si="12"/>
        <v>-1.8</v>
      </c>
      <c r="AP40" s="286">
        <v>899</v>
      </c>
      <c r="AQ40" s="131">
        <f t="shared" si="13"/>
        <v>-5.3</v>
      </c>
      <c r="AR40" s="286">
        <f t="shared" si="158"/>
        <v>973</v>
      </c>
      <c r="AS40" s="286">
        <f t="shared" si="159"/>
        <v>379</v>
      </c>
      <c r="AT40" s="286">
        <f t="shared" si="160"/>
        <v>737</v>
      </c>
      <c r="AU40" s="131">
        <f t="shared" si="33"/>
        <v>-24.3</v>
      </c>
      <c r="AV40" s="286">
        <f t="shared" si="161"/>
        <v>200</v>
      </c>
      <c r="AW40" s="131">
        <f t="shared" si="14"/>
        <v>-47.2</v>
      </c>
      <c r="AX40" s="600">
        <v>2919</v>
      </c>
      <c r="AY40" s="600">
        <v>1328</v>
      </c>
      <c r="AZ40" s="286">
        <v>2647</v>
      </c>
      <c r="BA40" s="131">
        <f t="shared" si="15"/>
        <v>-9.3000000000000007</v>
      </c>
      <c r="BB40" s="286">
        <v>1099</v>
      </c>
      <c r="BC40" s="131">
        <f t="shared" si="16"/>
        <v>-17.2</v>
      </c>
      <c r="BD40" s="286">
        <f t="shared" si="162"/>
        <v>741</v>
      </c>
      <c r="BE40" s="286">
        <f t="shared" si="162"/>
        <v>734</v>
      </c>
      <c r="BF40" s="286">
        <f t="shared" si="162"/>
        <v>888</v>
      </c>
      <c r="BG40" s="131">
        <f t="shared" si="36"/>
        <v>19.8</v>
      </c>
      <c r="BH40" s="286">
        <f t="shared" si="163"/>
        <v>554</v>
      </c>
      <c r="BI40" s="131">
        <f t="shared" si="17"/>
        <v>-24.5</v>
      </c>
      <c r="BJ40" s="600">
        <v>3660</v>
      </c>
      <c r="BK40" s="600">
        <v>2062</v>
      </c>
      <c r="BL40" s="286">
        <v>3535</v>
      </c>
      <c r="BM40" s="131">
        <f t="shared" si="18"/>
        <v>-3.4</v>
      </c>
      <c r="BN40" s="286">
        <v>1653</v>
      </c>
      <c r="BO40" s="131">
        <f t="shared" si="19"/>
        <v>-19.8</v>
      </c>
    </row>
    <row r="41" spans="1:67" ht="21.75" customHeight="1">
      <c r="A41" s="805"/>
      <c r="B41" s="805"/>
      <c r="C41" s="117" t="s">
        <v>252</v>
      </c>
      <c r="D41" s="118">
        <v>25703</v>
      </c>
      <c r="E41" s="118">
        <v>5570</v>
      </c>
      <c r="F41" s="118">
        <v>32257</v>
      </c>
      <c r="G41" s="118">
        <v>7510</v>
      </c>
      <c r="H41" s="282">
        <v>41588</v>
      </c>
      <c r="I41" s="282">
        <v>9829</v>
      </c>
      <c r="J41" s="603">
        <v>51208</v>
      </c>
      <c r="K41" s="603">
        <v>10806</v>
      </c>
      <c r="L41" s="603">
        <v>35129</v>
      </c>
      <c r="M41" s="603">
        <v>15207</v>
      </c>
      <c r="N41" s="603">
        <v>2384</v>
      </c>
      <c r="O41" s="603">
        <v>1702</v>
      </c>
      <c r="P41" s="282">
        <v>2980</v>
      </c>
      <c r="Q41" s="119">
        <f t="shared" si="6"/>
        <v>25</v>
      </c>
      <c r="R41" s="282">
        <v>1189</v>
      </c>
      <c r="S41" s="119">
        <f t="shared" si="7"/>
        <v>-30.1</v>
      </c>
      <c r="T41" s="282">
        <f t="shared" si="150"/>
        <v>2811</v>
      </c>
      <c r="U41" s="282">
        <f t="shared" si="151"/>
        <v>1646</v>
      </c>
      <c r="V41" s="282">
        <f t="shared" si="152"/>
        <v>3556</v>
      </c>
      <c r="W41" s="119">
        <f t="shared" si="25"/>
        <v>26.5</v>
      </c>
      <c r="X41" s="282">
        <f t="shared" si="153"/>
        <v>742</v>
      </c>
      <c r="Y41" s="119">
        <f t="shared" si="8"/>
        <v>-54.9</v>
      </c>
      <c r="Z41" s="603">
        <v>5195</v>
      </c>
      <c r="AA41" s="282">
        <v>3348</v>
      </c>
      <c r="AB41" s="603">
        <v>6536</v>
      </c>
      <c r="AC41" s="119">
        <f t="shared" si="9"/>
        <v>25.8</v>
      </c>
      <c r="AD41" s="282">
        <v>1931</v>
      </c>
      <c r="AE41" s="119">
        <f t="shared" si="10"/>
        <v>-42.3</v>
      </c>
      <c r="AF41" s="282">
        <f t="shared" si="154"/>
        <v>3457</v>
      </c>
      <c r="AG41" s="282">
        <f t="shared" si="155"/>
        <v>429</v>
      </c>
      <c r="AH41" s="282">
        <f t="shared" si="156"/>
        <v>2248</v>
      </c>
      <c r="AI41" s="119">
        <f t="shared" si="30"/>
        <v>-35</v>
      </c>
      <c r="AJ41" s="282">
        <f t="shared" si="157"/>
        <v>1360</v>
      </c>
      <c r="AK41" s="119">
        <f t="shared" si="11"/>
        <v>217</v>
      </c>
      <c r="AL41" s="603">
        <v>8652</v>
      </c>
      <c r="AM41" s="603">
        <v>3777</v>
      </c>
      <c r="AN41" s="282">
        <v>8784</v>
      </c>
      <c r="AO41" s="119">
        <f t="shared" si="12"/>
        <v>1.5</v>
      </c>
      <c r="AP41" s="282">
        <v>3291</v>
      </c>
      <c r="AQ41" s="119">
        <f t="shared" si="13"/>
        <v>-12.9</v>
      </c>
      <c r="AR41" s="282">
        <f t="shared" si="158"/>
        <v>2797</v>
      </c>
      <c r="AS41" s="282">
        <f t="shared" si="159"/>
        <v>1565</v>
      </c>
      <c r="AT41" s="282">
        <f t="shared" si="160"/>
        <v>3359</v>
      </c>
      <c r="AU41" s="119">
        <f t="shared" si="33"/>
        <v>20.100000000000001</v>
      </c>
      <c r="AV41" s="282">
        <f t="shared" si="161"/>
        <v>786</v>
      </c>
      <c r="AW41" s="119">
        <f t="shared" si="14"/>
        <v>-49.8</v>
      </c>
      <c r="AX41" s="603">
        <v>11449</v>
      </c>
      <c r="AY41" s="603">
        <v>5342</v>
      </c>
      <c r="AZ41" s="282">
        <v>12143</v>
      </c>
      <c r="BA41" s="119">
        <f t="shared" si="15"/>
        <v>6.1</v>
      </c>
      <c r="BB41" s="282">
        <v>4077</v>
      </c>
      <c r="BC41" s="119">
        <f t="shared" si="16"/>
        <v>-23.7</v>
      </c>
      <c r="BD41" s="282">
        <f t="shared" si="162"/>
        <v>2641</v>
      </c>
      <c r="BE41" s="282">
        <f t="shared" si="162"/>
        <v>2281</v>
      </c>
      <c r="BF41" s="282">
        <f t="shared" si="162"/>
        <v>3943</v>
      </c>
      <c r="BG41" s="119">
        <f t="shared" si="36"/>
        <v>49.3</v>
      </c>
      <c r="BH41" s="282">
        <f t="shared" si="163"/>
        <v>2205</v>
      </c>
      <c r="BI41" s="119">
        <f t="shared" si="17"/>
        <v>-3.3</v>
      </c>
      <c r="BJ41" s="603">
        <v>14090</v>
      </c>
      <c r="BK41" s="603">
        <v>7623</v>
      </c>
      <c r="BL41" s="282">
        <v>16086</v>
      </c>
      <c r="BM41" s="119">
        <f t="shared" si="18"/>
        <v>14.2</v>
      </c>
      <c r="BN41" s="282">
        <v>6282</v>
      </c>
      <c r="BO41" s="119">
        <f t="shared" si="19"/>
        <v>-17.600000000000001</v>
      </c>
    </row>
    <row r="42" spans="1:67" ht="21.75" customHeight="1">
      <c r="A42" s="805"/>
      <c r="B42" s="805" t="s">
        <v>253</v>
      </c>
      <c r="C42" s="114" t="s">
        <v>569</v>
      </c>
      <c r="D42" s="115">
        <v>13284</v>
      </c>
      <c r="E42" s="115">
        <v>24934</v>
      </c>
      <c r="F42" s="115">
        <v>6328</v>
      </c>
      <c r="G42" s="115">
        <v>23280</v>
      </c>
      <c r="H42" s="281">
        <v>1902</v>
      </c>
      <c r="I42" s="281">
        <v>29120</v>
      </c>
      <c r="J42" s="599">
        <v>1945</v>
      </c>
      <c r="K42" s="599">
        <v>33849</v>
      </c>
      <c r="L42" s="599">
        <v>1797</v>
      </c>
      <c r="M42" s="599">
        <v>27340</v>
      </c>
      <c r="N42" s="599">
        <v>80</v>
      </c>
      <c r="O42" s="599">
        <v>2897</v>
      </c>
      <c r="P42" s="281">
        <v>323</v>
      </c>
      <c r="Q42" s="116">
        <f t="shared" si="6"/>
        <v>303.8</v>
      </c>
      <c r="R42" s="281">
        <v>2634</v>
      </c>
      <c r="S42" s="116">
        <f t="shared" si="7"/>
        <v>-9.1</v>
      </c>
      <c r="T42" s="281">
        <f t="shared" si="150"/>
        <v>222</v>
      </c>
      <c r="U42" s="281">
        <f t="shared" si="151"/>
        <v>2279</v>
      </c>
      <c r="V42" s="281">
        <f t="shared" si="152"/>
        <v>147</v>
      </c>
      <c r="W42" s="116">
        <f t="shared" si="25"/>
        <v>-33.799999999999997</v>
      </c>
      <c r="X42" s="281">
        <f t="shared" si="153"/>
        <v>2239</v>
      </c>
      <c r="Y42" s="116">
        <f t="shared" si="8"/>
        <v>-1.8</v>
      </c>
      <c r="Z42" s="599">
        <v>302</v>
      </c>
      <c r="AA42" s="399">
        <v>5176</v>
      </c>
      <c r="AB42" s="599">
        <v>470</v>
      </c>
      <c r="AC42" s="116">
        <f t="shared" si="9"/>
        <v>55.6</v>
      </c>
      <c r="AD42" s="281">
        <v>4873</v>
      </c>
      <c r="AE42" s="116">
        <f t="shared" si="10"/>
        <v>-5.9</v>
      </c>
      <c r="AF42" s="281">
        <f t="shared" si="154"/>
        <v>24</v>
      </c>
      <c r="AG42" s="281">
        <f t="shared" si="155"/>
        <v>1830</v>
      </c>
      <c r="AH42" s="281">
        <f t="shared" si="156"/>
        <v>33</v>
      </c>
      <c r="AI42" s="116">
        <f t="shared" si="30"/>
        <v>37.5</v>
      </c>
      <c r="AJ42" s="281">
        <f t="shared" si="157"/>
        <v>3074</v>
      </c>
      <c r="AK42" s="116">
        <f t="shared" si="11"/>
        <v>68</v>
      </c>
      <c r="AL42" s="599">
        <v>326</v>
      </c>
      <c r="AM42" s="599">
        <v>7006</v>
      </c>
      <c r="AN42" s="281">
        <v>503</v>
      </c>
      <c r="AO42" s="116">
        <f t="shared" si="12"/>
        <v>54.3</v>
      </c>
      <c r="AP42" s="281">
        <v>7947</v>
      </c>
      <c r="AQ42" s="116">
        <f t="shared" si="13"/>
        <v>13.4</v>
      </c>
      <c r="AR42" s="281">
        <f t="shared" si="158"/>
        <v>14</v>
      </c>
      <c r="AS42" s="281">
        <f t="shared" si="159"/>
        <v>2194</v>
      </c>
      <c r="AT42" s="281">
        <f t="shared" si="160"/>
        <v>224</v>
      </c>
      <c r="AU42" s="116">
        <f t="shared" si="33"/>
        <v>1500</v>
      </c>
      <c r="AV42" s="281">
        <f t="shared" si="161"/>
        <v>3822</v>
      </c>
      <c r="AW42" s="116">
        <f t="shared" si="14"/>
        <v>74.2</v>
      </c>
      <c r="AX42" s="599">
        <v>340</v>
      </c>
      <c r="AY42" s="599">
        <v>9200</v>
      </c>
      <c r="AZ42" s="281">
        <v>727</v>
      </c>
      <c r="BA42" s="116">
        <f t="shared" si="15"/>
        <v>113.8</v>
      </c>
      <c r="BB42" s="281">
        <v>11769</v>
      </c>
      <c r="BC42" s="116">
        <f t="shared" si="16"/>
        <v>27.9</v>
      </c>
      <c r="BD42" s="281">
        <f t="shared" si="162"/>
        <v>29</v>
      </c>
      <c r="BE42" s="281">
        <f t="shared" si="162"/>
        <v>1945</v>
      </c>
      <c r="BF42" s="281">
        <f t="shared" si="162"/>
        <v>233</v>
      </c>
      <c r="BG42" s="116">
        <f t="shared" si="36"/>
        <v>703.4</v>
      </c>
      <c r="BH42" s="281">
        <f t="shared" si="163"/>
        <v>3129</v>
      </c>
      <c r="BI42" s="116">
        <f t="shared" si="17"/>
        <v>60.9</v>
      </c>
      <c r="BJ42" s="599">
        <v>369</v>
      </c>
      <c r="BK42" s="599">
        <v>11145</v>
      </c>
      <c r="BL42" s="281">
        <v>960</v>
      </c>
      <c r="BM42" s="116">
        <f t="shared" si="18"/>
        <v>160.19999999999999</v>
      </c>
      <c r="BN42" s="281">
        <v>14898</v>
      </c>
      <c r="BO42" s="116">
        <f t="shared" si="19"/>
        <v>33.700000000000003</v>
      </c>
    </row>
    <row r="43" spans="1:67" ht="21.75" customHeight="1">
      <c r="A43" s="805"/>
      <c r="B43" s="805"/>
      <c r="C43" s="117" t="s">
        <v>252</v>
      </c>
      <c r="D43" s="118">
        <v>117392</v>
      </c>
      <c r="E43" s="118">
        <v>235525</v>
      </c>
      <c r="F43" s="118">
        <v>65853</v>
      </c>
      <c r="G43" s="118">
        <v>251766</v>
      </c>
      <c r="H43" s="282">
        <v>28052</v>
      </c>
      <c r="I43" s="282">
        <v>402545</v>
      </c>
      <c r="J43" s="603">
        <v>28403</v>
      </c>
      <c r="K43" s="603">
        <v>471344</v>
      </c>
      <c r="L43" s="603">
        <v>26053</v>
      </c>
      <c r="M43" s="603">
        <v>388406</v>
      </c>
      <c r="N43" s="603">
        <v>1204</v>
      </c>
      <c r="O43" s="603">
        <v>42998</v>
      </c>
      <c r="P43" s="282">
        <v>5530</v>
      </c>
      <c r="Q43" s="119">
        <f t="shared" si="6"/>
        <v>359.3</v>
      </c>
      <c r="R43" s="282">
        <v>44615</v>
      </c>
      <c r="S43" s="119">
        <f t="shared" si="7"/>
        <v>3.8</v>
      </c>
      <c r="T43" s="282">
        <f t="shared" si="150"/>
        <v>2939</v>
      </c>
      <c r="U43" s="282">
        <f t="shared" si="151"/>
        <v>31681</v>
      </c>
      <c r="V43" s="282">
        <f t="shared" si="152"/>
        <v>2719</v>
      </c>
      <c r="W43" s="119">
        <f t="shared" si="25"/>
        <v>-7.5</v>
      </c>
      <c r="X43" s="282">
        <f t="shared" si="153"/>
        <v>40219</v>
      </c>
      <c r="Y43" s="119">
        <f t="shared" si="8"/>
        <v>26.9</v>
      </c>
      <c r="Z43" s="603">
        <v>4143</v>
      </c>
      <c r="AA43" s="400">
        <v>74679</v>
      </c>
      <c r="AB43" s="603">
        <v>8249</v>
      </c>
      <c r="AC43" s="119">
        <f t="shared" si="9"/>
        <v>99.1</v>
      </c>
      <c r="AD43" s="282">
        <v>84834</v>
      </c>
      <c r="AE43" s="119">
        <f t="shared" si="10"/>
        <v>13.6</v>
      </c>
      <c r="AF43" s="282">
        <f t="shared" si="154"/>
        <v>420</v>
      </c>
      <c r="AG43" s="282">
        <f t="shared" si="155"/>
        <v>24595</v>
      </c>
      <c r="AH43" s="282">
        <f t="shared" si="156"/>
        <v>648</v>
      </c>
      <c r="AI43" s="119">
        <f t="shared" si="30"/>
        <v>54.3</v>
      </c>
      <c r="AJ43" s="282">
        <f t="shared" si="157"/>
        <v>56750</v>
      </c>
      <c r="AK43" s="119">
        <f t="shared" si="11"/>
        <v>130.69999999999999</v>
      </c>
      <c r="AL43" s="603">
        <v>4563</v>
      </c>
      <c r="AM43" s="603">
        <v>99274</v>
      </c>
      <c r="AN43" s="282">
        <v>8897</v>
      </c>
      <c r="AO43" s="119">
        <f t="shared" si="12"/>
        <v>95</v>
      </c>
      <c r="AP43" s="282">
        <v>141584</v>
      </c>
      <c r="AQ43" s="119">
        <f t="shared" si="13"/>
        <v>42.6</v>
      </c>
      <c r="AR43" s="282">
        <f t="shared" si="158"/>
        <v>206</v>
      </c>
      <c r="AS43" s="282">
        <f t="shared" si="159"/>
        <v>27993</v>
      </c>
      <c r="AT43" s="282">
        <f t="shared" si="160"/>
        <v>3741</v>
      </c>
      <c r="AU43" s="119">
        <f t="shared" si="33"/>
        <v>1716</v>
      </c>
      <c r="AV43" s="282">
        <f t="shared" si="161"/>
        <v>65918</v>
      </c>
      <c r="AW43" s="119">
        <f t="shared" si="14"/>
        <v>135.5</v>
      </c>
      <c r="AX43" s="603">
        <v>4769</v>
      </c>
      <c r="AY43" s="603">
        <v>127267</v>
      </c>
      <c r="AZ43" s="282">
        <v>12638</v>
      </c>
      <c r="BA43" s="119">
        <f t="shared" si="15"/>
        <v>165</v>
      </c>
      <c r="BB43" s="282">
        <v>207502</v>
      </c>
      <c r="BC43" s="119">
        <f t="shared" si="16"/>
        <v>63</v>
      </c>
      <c r="BD43" s="282">
        <f t="shared" si="162"/>
        <v>358</v>
      </c>
      <c r="BE43" s="282">
        <f t="shared" si="162"/>
        <v>24939</v>
      </c>
      <c r="BF43" s="282">
        <f t="shared" si="162"/>
        <v>4024</v>
      </c>
      <c r="BG43" s="119">
        <f t="shared" si="36"/>
        <v>1024</v>
      </c>
      <c r="BH43" s="282">
        <f t="shared" si="163"/>
        <v>54623</v>
      </c>
      <c r="BI43" s="119">
        <f t="shared" si="17"/>
        <v>119</v>
      </c>
      <c r="BJ43" s="603">
        <v>5127</v>
      </c>
      <c r="BK43" s="603">
        <v>152206</v>
      </c>
      <c r="BL43" s="282">
        <v>16662</v>
      </c>
      <c r="BM43" s="119">
        <f t="shared" si="18"/>
        <v>225</v>
      </c>
      <c r="BN43" s="282">
        <v>262125</v>
      </c>
      <c r="BO43" s="119">
        <f t="shared" si="19"/>
        <v>72.2</v>
      </c>
    </row>
    <row r="44" spans="1:67" ht="21.75" customHeight="1">
      <c r="A44" s="805"/>
      <c r="B44" s="809" t="s">
        <v>254</v>
      </c>
      <c r="C44" s="114" t="s">
        <v>569</v>
      </c>
      <c r="D44" s="115">
        <f t="shared" ref="D44:F45" si="164">D46-D40-D42</f>
        <v>2688</v>
      </c>
      <c r="E44" s="115">
        <f>E46-E40-E42</f>
        <v>36007</v>
      </c>
      <c r="F44" s="115">
        <f t="shared" si="164"/>
        <v>2947</v>
      </c>
      <c r="G44" s="115">
        <f t="shared" ref="G44:J45" si="165">G46-G40-G42</f>
        <v>30776</v>
      </c>
      <c r="H44" s="281">
        <f t="shared" si="165"/>
        <v>2924</v>
      </c>
      <c r="I44" s="281">
        <f t="shared" si="165"/>
        <v>25406</v>
      </c>
      <c r="J44" s="599">
        <f t="shared" si="165"/>
        <v>8835</v>
      </c>
      <c r="K44" s="599">
        <f>K46-K40-K42</f>
        <v>24614</v>
      </c>
      <c r="L44" s="599">
        <f t="shared" ref="L44" si="166">L46-L40-L42</f>
        <v>4369</v>
      </c>
      <c r="M44" s="599">
        <f>M46-M40-M42</f>
        <v>26076</v>
      </c>
      <c r="N44" s="599">
        <f t="shared" ref="N44" si="167">N46-N40-N42</f>
        <v>454</v>
      </c>
      <c r="O44" s="599">
        <f>O46-O40-O42</f>
        <v>1520</v>
      </c>
      <c r="P44" s="599">
        <f>P46-P40-P42</f>
        <v>431</v>
      </c>
      <c r="Q44" s="116">
        <f t="shared" si="6"/>
        <v>-5.0999999999999996</v>
      </c>
      <c r="R44" s="599">
        <f>R46-R40-R42</f>
        <v>2616</v>
      </c>
      <c r="S44" s="116">
        <f t="shared" si="7"/>
        <v>72.099999999999994</v>
      </c>
      <c r="T44" s="281">
        <f t="shared" ref="T44:V45" si="168">T46-T40-T42</f>
        <v>128</v>
      </c>
      <c r="U44" s="281">
        <f t="shared" si="168"/>
        <v>2599</v>
      </c>
      <c r="V44" s="281">
        <f t="shared" si="168"/>
        <v>622</v>
      </c>
      <c r="W44" s="116">
        <f t="shared" si="25"/>
        <v>385.9</v>
      </c>
      <c r="X44" s="281">
        <f>X46-X40-X42</f>
        <v>1671</v>
      </c>
      <c r="Y44" s="116">
        <f t="shared" si="8"/>
        <v>-35.700000000000003</v>
      </c>
      <c r="Z44" s="599">
        <f t="shared" ref="Z44" si="169">Z46-Z40-Z42</f>
        <v>582</v>
      </c>
      <c r="AA44" s="281">
        <f t="shared" ref="AA44:AB45" si="170">AA46-AA40-AA42</f>
        <v>4119</v>
      </c>
      <c r="AB44" s="599">
        <f t="shared" si="170"/>
        <v>1053</v>
      </c>
      <c r="AC44" s="116">
        <f t="shared" si="9"/>
        <v>80.900000000000006</v>
      </c>
      <c r="AD44" s="599">
        <f t="shared" ref="AD44" si="171">AD46-AD40-AD42</f>
        <v>4287</v>
      </c>
      <c r="AE44" s="116">
        <f t="shared" si="10"/>
        <v>4.0999999999999996</v>
      </c>
      <c r="AF44" s="281">
        <f t="shared" ref="AF44:AH45" si="172">AF46-AF40-AF42</f>
        <v>652</v>
      </c>
      <c r="AG44" s="281">
        <f t="shared" si="172"/>
        <v>2525</v>
      </c>
      <c r="AH44" s="281">
        <f t="shared" si="172"/>
        <v>769</v>
      </c>
      <c r="AI44" s="116">
        <f t="shared" si="30"/>
        <v>17.899999999999999</v>
      </c>
      <c r="AJ44" s="281">
        <f>AJ46-AJ40-AJ42</f>
        <v>4010</v>
      </c>
      <c r="AK44" s="116">
        <f t="shared" si="11"/>
        <v>58.8</v>
      </c>
      <c r="AL44" s="599">
        <f t="shared" ref="AL44" si="173">AL46-AL40-AL42</f>
        <v>1234</v>
      </c>
      <c r="AM44" s="599">
        <f>AM46-AM40-AM42</f>
        <v>6644</v>
      </c>
      <c r="AN44" s="599">
        <f>AN46-AN40-AN42</f>
        <v>1822</v>
      </c>
      <c r="AO44" s="116">
        <f t="shared" si="12"/>
        <v>47.6</v>
      </c>
      <c r="AP44" s="599">
        <f>AP46-AP40-AP42</f>
        <v>8297</v>
      </c>
      <c r="AQ44" s="116">
        <f t="shared" si="13"/>
        <v>24.9</v>
      </c>
      <c r="AR44" s="281">
        <f t="shared" ref="AR44:AT44" si="174">AR46-AR40-AR42</f>
        <v>412</v>
      </c>
      <c r="AS44" s="281">
        <f t="shared" si="174"/>
        <v>2789</v>
      </c>
      <c r="AT44" s="281">
        <f t="shared" si="174"/>
        <v>1005</v>
      </c>
      <c r="AU44" s="116">
        <f t="shared" si="33"/>
        <v>143.9</v>
      </c>
      <c r="AV44" s="281">
        <f>AV46-AV40-AV42</f>
        <v>1852</v>
      </c>
      <c r="AW44" s="116">
        <f t="shared" si="14"/>
        <v>-33.6</v>
      </c>
      <c r="AX44" s="599">
        <f t="shared" ref="AX44" si="175">AX46-AX40-AX42</f>
        <v>1646</v>
      </c>
      <c r="AY44" s="599">
        <f>AY46-AY40-AY42</f>
        <v>9433</v>
      </c>
      <c r="AZ44" s="599">
        <f>AZ46-AZ40-AZ42</f>
        <v>2827</v>
      </c>
      <c r="BA44" s="116">
        <f t="shared" si="15"/>
        <v>71.7</v>
      </c>
      <c r="BB44" s="599">
        <f>BB46-BB40-BB42</f>
        <v>10149</v>
      </c>
      <c r="BC44" s="116">
        <f t="shared" si="16"/>
        <v>7.6</v>
      </c>
      <c r="BD44" s="281">
        <f t="shared" ref="BD44:BF45" si="176">BD46-BD40-BD42</f>
        <v>490</v>
      </c>
      <c r="BE44" s="281">
        <f t="shared" si="176"/>
        <v>1607</v>
      </c>
      <c r="BF44" s="281">
        <f t="shared" si="176"/>
        <v>361</v>
      </c>
      <c r="BG44" s="116">
        <f t="shared" si="36"/>
        <v>-26.3</v>
      </c>
      <c r="BH44" s="281">
        <f>BH46-BH40-BH42</f>
        <v>3028</v>
      </c>
      <c r="BI44" s="116">
        <f t="shared" si="17"/>
        <v>88.4</v>
      </c>
      <c r="BJ44" s="599">
        <f t="shared" ref="BJ44:BJ45" si="177">BJ46-BJ40-BJ42</f>
        <v>2136</v>
      </c>
      <c r="BK44" s="599">
        <f>BK46-BK40-BK42</f>
        <v>11040</v>
      </c>
      <c r="BL44" s="599">
        <f>BL46-BL40-BL42</f>
        <v>3188</v>
      </c>
      <c r="BM44" s="116">
        <f t="shared" si="18"/>
        <v>49.3</v>
      </c>
      <c r="BN44" s="599">
        <f>BN46-BN40-BN42</f>
        <v>13177</v>
      </c>
      <c r="BO44" s="116">
        <f t="shared" si="19"/>
        <v>19.399999999999999</v>
      </c>
    </row>
    <row r="45" spans="1:67" ht="21.75" customHeight="1">
      <c r="A45" s="805"/>
      <c r="B45" s="805"/>
      <c r="C45" s="117" t="s">
        <v>252</v>
      </c>
      <c r="D45" s="118">
        <f t="shared" si="164"/>
        <v>39082</v>
      </c>
      <c r="E45" s="118">
        <f>E47-E41-E43</f>
        <v>506389</v>
      </c>
      <c r="F45" s="118">
        <f t="shared" si="164"/>
        <v>52829</v>
      </c>
      <c r="G45" s="118">
        <f t="shared" si="165"/>
        <v>542348</v>
      </c>
      <c r="H45" s="282">
        <f t="shared" si="165"/>
        <v>72643</v>
      </c>
      <c r="I45" s="282">
        <f t="shared" si="165"/>
        <v>593919</v>
      </c>
      <c r="J45" s="603">
        <f t="shared" si="165"/>
        <v>106398</v>
      </c>
      <c r="K45" s="603">
        <f>K47-K41-K43</f>
        <v>613642</v>
      </c>
      <c r="L45" s="603">
        <f t="shared" ref="L45" si="178">L47-L41-L43</f>
        <v>84624</v>
      </c>
      <c r="M45" s="603">
        <f>M47-M41-M43</f>
        <v>607666</v>
      </c>
      <c r="N45" s="603">
        <f t="shared" ref="N45" si="179">N47-N41-N43</f>
        <v>6767</v>
      </c>
      <c r="O45" s="603">
        <f>O47-O41-O43</f>
        <v>44393</v>
      </c>
      <c r="P45" s="603">
        <f>P47-P41-P43</f>
        <v>5493</v>
      </c>
      <c r="Q45" s="119">
        <f t="shared" si="6"/>
        <v>-18.8</v>
      </c>
      <c r="R45" s="603">
        <f>R47-R41-R43</f>
        <v>56336</v>
      </c>
      <c r="S45" s="119">
        <f t="shared" si="7"/>
        <v>26.9</v>
      </c>
      <c r="T45" s="282">
        <f t="shared" si="168"/>
        <v>5368</v>
      </c>
      <c r="U45" s="282">
        <f t="shared" si="168"/>
        <v>53623</v>
      </c>
      <c r="V45" s="282">
        <f t="shared" si="168"/>
        <v>5993</v>
      </c>
      <c r="W45" s="119">
        <f t="shared" si="25"/>
        <v>11.6</v>
      </c>
      <c r="X45" s="282">
        <f>X47-X41-X43</f>
        <v>45247</v>
      </c>
      <c r="Y45" s="119">
        <f t="shared" si="8"/>
        <v>-15.6</v>
      </c>
      <c r="Z45" s="603">
        <f t="shared" ref="Z45" si="180">Z47-Z41-Z43</f>
        <v>12135</v>
      </c>
      <c r="AA45" s="282">
        <f t="shared" si="170"/>
        <v>98016</v>
      </c>
      <c r="AB45" s="603">
        <f t="shared" si="170"/>
        <v>11486</v>
      </c>
      <c r="AC45" s="119">
        <f t="shared" si="9"/>
        <v>-5.3</v>
      </c>
      <c r="AD45" s="603">
        <f t="shared" ref="AD45" si="181">AD47-AD41-AD43</f>
        <v>101583</v>
      </c>
      <c r="AE45" s="119">
        <f t="shared" si="10"/>
        <v>3.6</v>
      </c>
      <c r="AF45" s="282">
        <f t="shared" si="172"/>
        <v>7965</v>
      </c>
      <c r="AG45" s="282">
        <f t="shared" si="172"/>
        <v>56143</v>
      </c>
      <c r="AH45" s="282">
        <f t="shared" si="172"/>
        <v>10506</v>
      </c>
      <c r="AI45" s="119">
        <f t="shared" si="30"/>
        <v>31.9</v>
      </c>
      <c r="AJ45" s="282">
        <f>AJ47-AJ41-AJ43</f>
        <v>64213</v>
      </c>
      <c r="AK45" s="119">
        <f t="shared" si="11"/>
        <v>14.4</v>
      </c>
      <c r="AL45" s="603">
        <f t="shared" ref="AL45" si="182">AL47-AL41-AL43</f>
        <v>20100</v>
      </c>
      <c r="AM45" s="603">
        <f>AM47-AM41-AM43</f>
        <v>154159</v>
      </c>
      <c r="AN45" s="603">
        <f>AN47-AN41-AN43</f>
        <v>21992</v>
      </c>
      <c r="AO45" s="119">
        <f t="shared" si="12"/>
        <v>9.4</v>
      </c>
      <c r="AP45" s="603">
        <f>AP47-AP41-AP43</f>
        <v>165796</v>
      </c>
      <c r="AQ45" s="119">
        <f t="shared" si="13"/>
        <v>7.5</v>
      </c>
      <c r="AR45" s="282">
        <f t="shared" ref="AR45:AT45" si="183">AR47-AR41-AR43</f>
        <v>5948</v>
      </c>
      <c r="AS45" s="282">
        <f t="shared" si="183"/>
        <v>56439</v>
      </c>
      <c r="AT45" s="282">
        <f t="shared" si="183"/>
        <v>7661</v>
      </c>
      <c r="AU45" s="119">
        <f t="shared" si="33"/>
        <v>28.8</v>
      </c>
      <c r="AV45" s="282">
        <f>AV47-AV41-AV43</f>
        <v>59584</v>
      </c>
      <c r="AW45" s="119">
        <f t="shared" si="14"/>
        <v>5.6</v>
      </c>
      <c r="AX45" s="603">
        <f t="shared" ref="AX45" si="184">AX47-AX41-AX43</f>
        <v>26048</v>
      </c>
      <c r="AY45" s="603">
        <f>AY47-AY41-AY43</f>
        <v>210598</v>
      </c>
      <c r="AZ45" s="603">
        <f>AZ47-AZ41-AZ43</f>
        <v>29653</v>
      </c>
      <c r="BA45" s="119">
        <f t="shared" si="15"/>
        <v>13.8</v>
      </c>
      <c r="BB45" s="603">
        <f>BB47-BB41-BB43</f>
        <v>225380</v>
      </c>
      <c r="BC45" s="119">
        <f t="shared" si="16"/>
        <v>7</v>
      </c>
      <c r="BD45" s="282">
        <f t="shared" si="176"/>
        <v>9064</v>
      </c>
      <c r="BE45" s="282">
        <f t="shared" si="176"/>
        <v>39882</v>
      </c>
      <c r="BF45" s="282">
        <f t="shared" si="176"/>
        <v>6704</v>
      </c>
      <c r="BG45" s="119">
        <f t="shared" si="36"/>
        <v>-26</v>
      </c>
      <c r="BH45" s="282">
        <f>BH47-BH41-BH43</f>
        <v>59795</v>
      </c>
      <c r="BI45" s="119">
        <f t="shared" si="17"/>
        <v>49.9</v>
      </c>
      <c r="BJ45" s="603">
        <f t="shared" si="177"/>
        <v>35112</v>
      </c>
      <c r="BK45" s="603">
        <f>BK47-BK41-BK43</f>
        <v>250480</v>
      </c>
      <c r="BL45" s="603">
        <f>BL47-BL41-BL43</f>
        <v>36357</v>
      </c>
      <c r="BM45" s="119">
        <f t="shared" si="18"/>
        <v>3.5</v>
      </c>
      <c r="BN45" s="603">
        <f>BN47-BN41-BN43</f>
        <v>285175</v>
      </c>
      <c r="BO45" s="119">
        <f t="shared" si="19"/>
        <v>13.9</v>
      </c>
    </row>
    <row r="46" spans="1:67" ht="21.75" customHeight="1">
      <c r="A46" s="805"/>
      <c r="B46" s="810" t="s">
        <v>255</v>
      </c>
      <c r="C46" s="120" t="s">
        <v>569</v>
      </c>
      <c r="D46" s="121">
        <v>23074</v>
      </c>
      <c r="E46" s="121">
        <v>61989</v>
      </c>
      <c r="F46" s="121">
        <v>16569</v>
      </c>
      <c r="G46" s="121">
        <v>55445</v>
      </c>
      <c r="H46" s="283">
        <v>12445</v>
      </c>
      <c r="I46" s="283">
        <v>56649</v>
      </c>
      <c r="J46" s="601">
        <v>21792</v>
      </c>
      <c r="K46" s="601">
        <v>61123</v>
      </c>
      <c r="L46" s="601">
        <v>14909</v>
      </c>
      <c r="M46" s="601">
        <v>57967</v>
      </c>
      <c r="N46" s="601">
        <v>1072</v>
      </c>
      <c r="O46" s="601">
        <v>4901</v>
      </c>
      <c r="P46" s="283">
        <v>1355</v>
      </c>
      <c r="Q46" s="122">
        <f t="shared" si="6"/>
        <v>26.4</v>
      </c>
      <c r="R46" s="283">
        <v>5478</v>
      </c>
      <c r="S46" s="122">
        <f t="shared" si="7"/>
        <v>11.8</v>
      </c>
      <c r="T46" s="283">
        <f t="shared" ref="T46:T51" si="185">Z46-N46</f>
        <v>974</v>
      </c>
      <c r="U46" s="283">
        <f t="shared" ref="U46:U51" si="186">AA46-O46</f>
        <v>5245</v>
      </c>
      <c r="V46" s="283">
        <f t="shared" ref="V46:V51" si="187">AB46-P46</f>
        <v>1605</v>
      </c>
      <c r="W46" s="122">
        <f t="shared" si="25"/>
        <v>64.8</v>
      </c>
      <c r="X46" s="283">
        <f t="shared" ref="X46:X51" si="188">AD46-R46</f>
        <v>4198</v>
      </c>
      <c r="Y46" s="122">
        <f t="shared" si="8"/>
        <v>-20</v>
      </c>
      <c r="Z46" s="601">
        <v>2046</v>
      </c>
      <c r="AA46" s="283">
        <v>10146</v>
      </c>
      <c r="AB46" s="601">
        <v>2960</v>
      </c>
      <c r="AC46" s="122">
        <f t="shared" si="9"/>
        <v>44.7</v>
      </c>
      <c r="AD46" s="283">
        <v>9676</v>
      </c>
      <c r="AE46" s="122">
        <f t="shared" si="10"/>
        <v>-4.5999999999999996</v>
      </c>
      <c r="AF46" s="283">
        <f t="shared" ref="AF46:AF51" si="189">AL46-Z46</f>
        <v>1460</v>
      </c>
      <c r="AG46" s="283">
        <f t="shared" ref="AG46:AG51" si="190">AM46-AA46</f>
        <v>4453</v>
      </c>
      <c r="AH46" s="283">
        <f t="shared" ref="AH46:AH51" si="191">AN46-AB46</f>
        <v>1275</v>
      </c>
      <c r="AI46" s="122">
        <f t="shared" si="30"/>
        <v>-12.7</v>
      </c>
      <c r="AJ46" s="283">
        <f t="shared" ref="AJ46:AJ51" si="192">AP46-AD46</f>
        <v>7467</v>
      </c>
      <c r="AK46" s="122">
        <f t="shared" si="11"/>
        <v>67.7</v>
      </c>
      <c r="AL46" s="601">
        <v>3506</v>
      </c>
      <c r="AM46" s="601">
        <v>14599</v>
      </c>
      <c r="AN46" s="283">
        <v>4235</v>
      </c>
      <c r="AO46" s="122">
        <f t="shared" si="12"/>
        <v>20.8</v>
      </c>
      <c r="AP46" s="283">
        <v>17143</v>
      </c>
      <c r="AQ46" s="122">
        <f t="shared" si="13"/>
        <v>17.399999999999999</v>
      </c>
      <c r="AR46" s="283">
        <f t="shared" ref="AR46:AR51" si="193">AX46-AL46</f>
        <v>1399</v>
      </c>
      <c r="AS46" s="283">
        <f t="shared" ref="AS46:AS51" si="194">AY46-AM46</f>
        <v>5362</v>
      </c>
      <c r="AT46" s="283">
        <f t="shared" ref="AT46:AT51" si="195">AZ46-AN46</f>
        <v>1966</v>
      </c>
      <c r="AU46" s="122">
        <f t="shared" si="33"/>
        <v>40.5</v>
      </c>
      <c r="AV46" s="283">
        <f t="shared" ref="AV46:AV51" si="196">BB46-AP46</f>
        <v>5874</v>
      </c>
      <c r="AW46" s="122">
        <f t="shared" si="14"/>
        <v>9.5</v>
      </c>
      <c r="AX46" s="601">
        <v>4905</v>
      </c>
      <c r="AY46" s="601">
        <v>19961</v>
      </c>
      <c r="AZ46" s="283">
        <v>6201</v>
      </c>
      <c r="BA46" s="122">
        <f t="shared" si="15"/>
        <v>26.4</v>
      </c>
      <c r="BB46" s="283">
        <v>23017</v>
      </c>
      <c r="BC46" s="122">
        <f t="shared" si="16"/>
        <v>15.3</v>
      </c>
      <c r="BD46" s="283">
        <f t="shared" ref="BD46:BF51" si="197">BJ46-AX46</f>
        <v>1260</v>
      </c>
      <c r="BE46" s="283">
        <f t="shared" si="197"/>
        <v>4286</v>
      </c>
      <c r="BF46" s="283">
        <f t="shared" si="197"/>
        <v>1482</v>
      </c>
      <c r="BG46" s="122">
        <f t="shared" si="36"/>
        <v>17.600000000000001</v>
      </c>
      <c r="BH46" s="283">
        <f t="shared" ref="BH46:BH51" si="198">BN46-BB46</f>
        <v>6711</v>
      </c>
      <c r="BI46" s="122">
        <f t="shared" si="17"/>
        <v>56.6</v>
      </c>
      <c r="BJ46" s="601">
        <v>6165</v>
      </c>
      <c r="BK46" s="601">
        <v>24247</v>
      </c>
      <c r="BL46" s="283">
        <v>7683</v>
      </c>
      <c r="BM46" s="122">
        <f t="shared" si="18"/>
        <v>24.6</v>
      </c>
      <c r="BN46" s="283">
        <v>29728</v>
      </c>
      <c r="BO46" s="122">
        <f t="shared" si="19"/>
        <v>22.6</v>
      </c>
    </row>
    <row r="47" spans="1:67" ht="21.75" customHeight="1" thickBot="1">
      <c r="A47" s="811"/>
      <c r="B47" s="812"/>
      <c r="C47" s="123" t="s">
        <v>252</v>
      </c>
      <c r="D47" s="124">
        <v>182177</v>
      </c>
      <c r="E47" s="124">
        <v>747484</v>
      </c>
      <c r="F47" s="124">
        <v>150939</v>
      </c>
      <c r="G47" s="124">
        <v>801624</v>
      </c>
      <c r="H47" s="284">
        <v>142283</v>
      </c>
      <c r="I47" s="284">
        <v>1006293</v>
      </c>
      <c r="J47" s="602">
        <v>186009</v>
      </c>
      <c r="K47" s="602">
        <v>1095792</v>
      </c>
      <c r="L47" s="602">
        <v>145806</v>
      </c>
      <c r="M47" s="602">
        <v>1011279</v>
      </c>
      <c r="N47" s="602">
        <v>10355</v>
      </c>
      <c r="O47" s="602">
        <v>89093</v>
      </c>
      <c r="P47" s="284">
        <v>14003</v>
      </c>
      <c r="Q47" s="125">
        <f t="shared" si="6"/>
        <v>35.200000000000003</v>
      </c>
      <c r="R47" s="284">
        <v>102140</v>
      </c>
      <c r="S47" s="125">
        <f t="shared" si="7"/>
        <v>14.6</v>
      </c>
      <c r="T47" s="284">
        <f t="shared" si="185"/>
        <v>11118</v>
      </c>
      <c r="U47" s="284">
        <f t="shared" si="186"/>
        <v>86950</v>
      </c>
      <c r="V47" s="284">
        <f t="shared" si="187"/>
        <v>12268</v>
      </c>
      <c r="W47" s="125">
        <f t="shared" si="25"/>
        <v>10.3</v>
      </c>
      <c r="X47" s="284">
        <f t="shared" si="188"/>
        <v>86208</v>
      </c>
      <c r="Y47" s="125">
        <f t="shared" si="8"/>
        <v>-0.9</v>
      </c>
      <c r="Z47" s="602">
        <v>21473</v>
      </c>
      <c r="AA47" s="284">
        <v>176043</v>
      </c>
      <c r="AB47" s="602">
        <v>26271</v>
      </c>
      <c r="AC47" s="125">
        <f t="shared" si="9"/>
        <v>22.3</v>
      </c>
      <c r="AD47" s="284">
        <v>188348</v>
      </c>
      <c r="AE47" s="125">
        <f t="shared" si="10"/>
        <v>7</v>
      </c>
      <c r="AF47" s="284">
        <f t="shared" si="189"/>
        <v>11842</v>
      </c>
      <c r="AG47" s="284">
        <f t="shared" si="190"/>
        <v>81167</v>
      </c>
      <c r="AH47" s="284">
        <f t="shared" si="191"/>
        <v>13402</v>
      </c>
      <c r="AI47" s="125">
        <f t="shared" si="30"/>
        <v>13.2</v>
      </c>
      <c r="AJ47" s="284">
        <f t="shared" si="192"/>
        <v>122323</v>
      </c>
      <c r="AK47" s="125">
        <f t="shared" si="11"/>
        <v>50.7</v>
      </c>
      <c r="AL47" s="602">
        <v>33315</v>
      </c>
      <c r="AM47" s="602">
        <v>257210</v>
      </c>
      <c r="AN47" s="284">
        <v>39673</v>
      </c>
      <c r="AO47" s="125">
        <f t="shared" si="12"/>
        <v>19.100000000000001</v>
      </c>
      <c r="AP47" s="284">
        <v>310671</v>
      </c>
      <c r="AQ47" s="125">
        <f t="shared" si="13"/>
        <v>20.8</v>
      </c>
      <c r="AR47" s="284">
        <f t="shared" si="193"/>
        <v>8951</v>
      </c>
      <c r="AS47" s="284">
        <f t="shared" si="194"/>
        <v>85997</v>
      </c>
      <c r="AT47" s="284">
        <f t="shared" si="195"/>
        <v>14761</v>
      </c>
      <c r="AU47" s="125">
        <f t="shared" si="33"/>
        <v>64.900000000000006</v>
      </c>
      <c r="AV47" s="284">
        <f t="shared" si="196"/>
        <v>126288</v>
      </c>
      <c r="AW47" s="125">
        <f t="shared" si="14"/>
        <v>46.9</v>
      </c>
      <c r="AX47" s="602">
        <v>42266</v>
      </c>
      <c r="AY47" s="602">
        <v>343207</v>
      </c>
      <c r="AZ47" s="284">
        <v>54434</v>
      </c>
      <c r="BA47" s="125">
        <f t="shared" si="15"/>
        <v>28.8</v>
      </c>
      <c r="BB47" s="284">
        <v>436959</v>
      </c>
      <c r="BC47" s="125">
        <f t="shared" si="16"/>
        <v>27.3</v>
      </c>
      <c r="BD47" s="284">
        <f t="shared" si="197"/>
        <v>12063</v>
      </c>
      <c r="BE47" s="284">
        <f t="shared" si="197"/>
        <v>67102</v>
      </c>
      <c r="BF47" s="284">
        <f t="shared" si="197"/>
        <v>14671</v>
      </c>
      <c r="BG47" s="125">
        <f t="shared" si="36"/>
        <v>21.6</v>
      </c>
      <c r="BH47" s="284">
        <f t="shared" si="198"/>
        <v>116623</v>
      </c>
      <c r="BI47" s="125">
        <f t="shared" si="17"/>
        <v>73.8</v>
      </c>
      <c r="BJ47" s="602">
        <v>54329</v>
      </c>
      <c r="BK47" s="602">
        <v>410309</v>
      </c>
      <c r="BL47" s="284">
        <v>69105</v>
      </c>
      <c r="BM47" s="125">
        <f t="shared" si="18"/>
        <v>27.2</v>
      </c>
      <c r="BN47" s="284">
        <v>553582</v>
      </c>
      <c r="BO47" s="125">
        <f t="shared" si="19"/>
        <v>34.9</v>
      </c>
    </row>
    <row r="48" spans="1:67" ht="21.75" customHeight="1" thickTop="1">
      <c r="A48" s="807" t="s">
        <v>260</v>
      </c>
      <c r="B48" s="808" t="s">
        <v>251</v>
      </c>
      <c r="C48" s="129" t="s">
        <v>569</v>
      </c>
      <c r="D48" s="600">
        <v>241</v>
      </c>
      <c r="E48" s="600">
        <v>85</v>
      </c>
      <c r="F48" s="600">
        <v>246</v>
      </c>
      <c r="G48" s="600">
        <v>85</v>
      </c>
      <c r="H48" s="600">
        <v>182</v>
      </c>
      <c r="I48" s="600">
        <v>115</v>
      </c>
      <c r="J48" s="600">
        <v>362</v>
      </c>
      <c r="K48" s="600">
        <v>92</v>
      </c>
      <c r="L48" s="600">
        <v>100</v>
      </c>
      <c r="M48" s="600">
        <v>84</v>
      </c>
      <c r="N48" s="600">
        <v>0</v>
      </c>
      <c r="O48" s="600">
        <v>0</v>
      </c>
      <c r="P48" s="600">
        <v>0</v>
      </c>
      <c r="Q48" s="594" t="e">
        <f t="shared" si="6"/>
        <v>#DIV/0!</v>
      </c>
      <c r="R48" s="600">
        <v>0</v>
      </c>
      <c r="S48" s="594" t="e">
        <f t="shared" si="7"/>
        <v>#DIV/0!</v>
      </c>
      <c r="T48" s="600">
        <f t="shared" si="185"/>
        <v>0</v>
      </c>
      <c r="U48" s="600">
        <f t="shared" si="186"/>
        <v>0</v>
      </c>
      <c r="V48" s="600">
        <f t="shared" si="187"/>
        <v>18</v>
      </c>
      <c r="W48" s="594" t="e">
        <f t="shared" si="25"/>
        <v>#DIV/0!</v>
      </c>
      <c r="X48" s="600">
        <f t="shared" si="188"/>
        <v>11</v>
      </c>
      <c r="Y48" s="594" t="e">
        <f t="shared" si="8"/>
        <v>#DIV/0!</v>
      </c>
      <c r="Z48" s="600">
        <v>0</v>
      </c>
      <c r="AA48" s="600">
        <v>0</v>
      </c>
      <c r="AB48" s="600">
        <v>18</v>
      </c>
      <c r="AC48" s="594" t="e">
        <f t="shared" si="9"/>
        <v>#DIV/0!</v>
      </c>
      <c r="AD48" s="600">
        <v>11</v>
      </c>
      <c r="AE48" s="594" t="e">
        <f t="shared" si="10"/>
        <v>#DIV/0!</v>
      </c>
      <c r="AF48" s="600">
        <f t="shared" si="189"/>
        <v>27</v>
      </c>
      <c r="AG48" s="600">
        <f t="shared" si="190"/>
        <v>9</v>
      </c>
      <c r="AH48" s="600">
        <f t="shared" si="191"/>
        <v>0</v>
      </c>
      <c r="AI48" s="594">
        <f t="shared" si="30"/>
        <v>-100</v>
      </c>
      <c r="AJ48" s="600">
        <f t="shared" si="192"/>
        <v>10</v>
      </c>
      <c r="AK48" s="594">
        <f t="shared" si="11"/>
        <v>11.1</v>
      </c>
      <c r="AL48" s="600">
        <v>27</v>
      </c>
      <c r="AM48" s="600">
        <v>9</v>
      </c>
      <c r="AN48" s="600">
        <v>18</v>
      </c>
      <c r="AO48" s="594">
        <f t="shared" si="12"/>
        <v>-33.299999999999997</v>
      </c>
      <c r="AP48" s="600">
        <v>21</v>
      </c>
      <c r="AQ48" s="594">
        <f t="shared" si="13"/>
        <v>133.30000000000001</v>
      </c>
      <c r="AR48" s="600">
        <f t="shared" si="193"/>
        <v>8</v>
      </c>
      <c r="AS48" s="600">
        <f t="shared" si="194"/>
        <v>0</v>
      </c>
      <c r="AT48" s="600">
        <f t="shared" si="195"/>
        <v>0</v>
      </c>
      <c r="AU48" s="594">
        <f t="shared" si="33"/>
        <v>-100</v>
      </c>
      <c r="AV48" s="600">
        <f t="shared" si="196"/>
        <v>0</v>
      </c>
      <c r="AW48" s="594" t="e">
        <f t="shared" si="14"/>
        <v>#DIV/0!</v>
      </c>
      <c r="AX48" s="600">
        <v>35</v>
      </c>
      <c r="AY48" s="600">
        <v>9</v>
      </c>
      <c r="AZ48" s="600">
        <v>18</v>
      </c>
      <c r="BA48" s="594">
        <f t="shared" si="15"/>
        <v>-48.6</v>
      </c>
      <c r="BB48" s="600">
        <v>21</v>
      </c>
      <c r="BC48" s="594">
        <f t="shared" si="16"/>
        <v>133.30000000000001</v>
      </c>
      <c r="BD48" s="600">
        <f t="shared" si="197"/>
        <v>13</v>
      </c>
      <c r="BE48" s="600">
        <f t="shared" si="197"/>
        <v>0</v>
      </c>
      <c r="BF48" s="600">
        <f t="shared" si="197"/>
        <v>19</v>
      </c>
      <c r="BG48" s="594">
        <f t="shared" si="36"/>
        <v>46.2</v>
      </c>
      <c r="BH48" s="600">
        <f t="shared" si="198"/>
        <v>0</v>
      </c>
      <c r="BI48" s="594" t="e">
        <f t="shared" si="17"/>
        <v>#DIV/0!</v>
      </c>
      <c r="BJ48" s="600">
        <v>48</v>
      </c>
      <c r="BK48" s="600">
        <v>9</v>
      </c>
      <c r="BL48" s="600">
        <v>37</v>
      </c>
      <c r="BM48" s="594">
        <f t="shared" si="18"/>
        <v>-22.9</v>
      </c>
      <c r="BN48" s="600">
        <v>21</v>
      </c>
      <c r="BO48" s="594">
        <f t="shared" si="19"/>
        <v>133.30000000000001</v>
      </c>
    </row>
    <row r="49" spans="1:67" ht="21.75" customHeight="1">
      <c r="A49" s="805"/>
      <c r="B49" s="805"/>
      <c r="C49" s="660" t="s">
        <v>252</v>
      </c>
      <c r="D49" s="603">
        <v>1719</v>
      </c>
      <c r="E49" s="603">
        <v>1515</v>
      </c>
      <c r="F49" s="603">
        <v>1369</v>
      </c>
      <c r="G49" s="603">
        <v>909</v>
      </c>
      <c r="H49" s="603">
        <v>1602</v>
      </c>
      <c r="I49" s="603">
        <v>1302</v>
      </c>
      <c r="J49" s="603">
        <v>1100</v>
      </c>
      <c r="K49" s="603">
        <v>604</v>
      </c>
      <c r="L49" s="603">
        <v>896</v>
      </c>
      <c r="M49" s="603">
        <v>285</v>
      </c>
      <c r="N49" s="603">
        <v>0</v>
      </c>
      <c r="O49" s="603">
        <v>0</v>
      </c>
      <c r="P49" s="603">
        <v>0</v>
      </c>
      <c r="Q49" s="591" t="e">
        <f t="shared" si="6"/>
        <v>#DIV/0!</v>
      </c>
      <c r="R49" s="603">
        <v>0</v>
      </c>
      <c r="S49" s="591" t="e">
        <f t="shared" si="7"/>
        <v>#DIV/0!</v>
      </c>
      <c r="T49" s="603">
        <f t="shared" si="185"/>
        <v>1</v>
      </c>
      <c r="U49" s="603">
        <f t="shared" si="186"/>
        <v>0</v>
      </c>
      <c r="V49" s="603">
        <f t="shared" si="187"/>
        <v>203</v>
      </c>
      <c r="W49" s="591">
        <f t="shared" si="25"/>
        <v>20200</v>
      </c>
      <c r="X49" s="603">
        <f t="shared" si="188"/>
        <v>93</v>
      </c>
      <c r="Y49" s="591" t="e">
        <f t="shared" si="8"/>
        <v>#DIV/0!</v>
      </c>
      <c r="Z49" s="603">
        <v>1</v>
      </c>
      <c r="AA49" s="603">
        <v>0</v>
      </c>
      <c r="AB49" s="603">
        <v>203</v>
      </c>
      <c r="AC49" s="591">
        <f t="shared" si="9"/>
        <v>20200</v>
      </c>
      <c r="AD49" s="603">
        <v>93</v>
      </c>
      <c r="AE49" s="591" t="e">
        <f t="shared" si="10"/>
        <v>#DIV/0!</v>
      </c>
      <c r="AF49" s="603">
        <f t="shared" si="189"/>
        <v>219</v>
      </c>
      <c r="AG49" s="603">
        <f t="shared" si="190"/>
        <v>11</v>
      </c>
      <c r="AH49" s="603">
        <f t="shared" si="191"/>
        <v>0</v>
      </c>
      <c r="AI49" s="591">
        <f t="shared" si="30"/>
        <v>-100</v>
      </c>
      <c r="AJ49" s="603">
        <f t="shared" si="192"/>
        <v>9</v>
      </c>
      <c r="AK49" s="591">
        <f t="shared" si="11"/>
        <v>-18.2</v>
      </c>
      <c r="AL49" s="603">
        <v>220</v>
      </c>
      <c r="AM49" s="603">
        <v>11</v>
      </c>
      <c r="AN49" s="603">
        <v>203</v>
      </c>
      <c r="AO49" s="591">
        <f t="shared" si="12"/>
        <v>-7.7</v>
      </c>
      <c r="AP49" s="603">
        <v>102</v>
      </c>
      <c r="AQ49" s="591">
        <f t="shared" si="13"/>
        <v>827.3</v>
      </c>
      <c r="AR49" s="603">
        <f t="shared" si="193"/>
        <v>67</v>
      </c>
      <c r="AS49" s="603">
        <f t="shared" si="194"/>
        <v>0</v>
      </c>
      <c r="AT49" s="603">
        <f t="shared" si="195"/>
        <v>1</v>
      </c>
      <c r="AU49" s="591">
        <f t="shared" si="33"/>
        <v>-98.5</v>
      </c>
      <c r="AV49" s="603">
        <f t="shared" si="196"/>
        <v>0</v>
      </c>
      <c r="AW49" s="591" t="e">
        <f t="shared" si="14"/>
        <v>#DIV/0!</v>
      </c>
      <c r="AX49" s="603">
        <v>287</v>
      </c>
      <c r="AY49" s="603">
        <v>11</v>
      </c>
      <c r="AZ49" s="603">
        <v>204</v>
      </c>
      <c r="BA49" s="591">
        <f t="shared" si="15"/>
        <v>-28.9</v>
      </c>
      <c r="BB49" s="603">
        <v>102</v>
      </c>
      <c r="BC49" s="591">
        <f t="shared" si="16"/>
        <v>827.3</v>
      </c>
      <c r="BD49" s="603">
        <f t="shared" si="197"/>
        <v>123</v>
      </c>
      <c r="BE49" s="603">
        <f t="shared" si="197"/>
        <v>1</v>
      </c>
      <c r="BF49" s="603">
        <f t="shared" si="197"/>
        <v>147</v>
      </c>
      <c r="BG49" s="591">
        <f t="shared" si="36"/>
        <v>19.5</v>
      </c>
      <c r="BH49" s="603">
        <f t="shared" si="198"/>
        <v>0</v>
      </c>
      <c r="BI49" s="591">
        <f t="shared" si="17"/>
        <v>-100</v>
      </c>
      <c r="BJ49" s="603">
        <v>410</v>
      </c>
      <c r="BK49" s="603">
        <v>12</v>
      </c>
      <c r="BL49" s="603">
        <v>351</v>
      </c>
      <c r="BM49" s="591">
        <f t="shared" si="18"/>
        <v>-14.4</v>
      </c>
      <c r="BN49" s="603">
        <v>102</v>
      </c>
      <c r="BO49" s="591">
        <f t="shared" si="19"/>
        <v>750</v>
      </c>
    </row>
    <row r="50" spans="1:67" ht="21.75" customHeight="1">
      <c r="A50" s="805"/>
      <c r="B50" s="805" t="s">
        <v>253</v>
      </c>
      <c r="C50" s="114" t="s">
        <v>569</v>
      </c>
      <c r="D50" s="599">
        <v>1003</v>
      </c>
      <c r="E50" s="599">
        <v>15082</v>
      </c>
      <c r="F50" s="599">
        <v>754</v>
      </c>
      <c r="G50" s="599">
        <v>13508</v>
      </c>
      <c r="H50" s="599">
        <v>838</v>
      </c>
      <c r="I50" s="599">
        <v>14268</v>
      </c>
      <c r="J50" s="599">
        <v>623</v>
      </c>
      <c r="K50" s="599">
        <v>12456</v>
      </c>
      <c r="L50" s="599">
        <v>616</v>
      </c>
      <c r="M50" s="599">
        <v>13972</v>
      </c>
      <c r="N50" s="599">
        <v>12</v>
      </c>
      <c r="O50" s="599">
        <v>1288</v>
      </c>
      <c r="P50" s="599">
        <v>54</v>
      </c>
      <c r="Q50" s="590">
        <f t="shared" si="6"/>
        <v>350</v>
      </c>
      <c r="R50" s="599">
        <v>933</v>
      </c>
      <c r="S50" s="590">
        <f t="shared" si="7"/>
        <v>-27.6</v>
      </c>
      <c r="T50" s="599">
        <f t="shared" si="185"/>
        <v>55</v>
      </c>
      <c r="U50" s="599">
        <f t="shared" si="186"/>
        <v>788</v>
      </c>
      <c r="V50" s="599">
        <f t="shared" si="187"/>
        <v>38</v>
      </c>
      <c r="W50" s="590">
        <f t="shared" si="25"/>
        <v>-30.9</v>
      </c>
      <c r="X50" s="599">
        <f t="shared" si="188"/>
        <v>903</v>
      </c>
      <c r="Y50" s="590">
        <f t="shared" si="8"/>
        <v>14.6</v>
      </c>
      <c r="Z50" s="599">
        <v>67</v>
      </c>
      <c r="AA50" s="599">
        <v>2076</v>
      </c>
      <c r="AB50" s="599">
        <v>92</v>
      </c>
      <c r="AC50" s="590">
        <f t="shared" si="9"/>
        <v>37.299999999999997</v>
      </c>
      <c r="AD50" s="599">
        <v>1836</v>
      </c>
      <c r="AE50" s="590">
        <f t="shared" si="10"/>
        <v>-11.6</v>
      </c>
      <c r="AF50" s="599">
        <f t="shared" si="189"/>
        <v>4</v>
      </c>
      <c r="AG50" s="599">
        <f t="shared" si="190"/>
        <v>1904</v>
      </c>
      <c r="AH50" s="599">
        <f t="shared" si="191"/>
        <v>68</v>
      </c>
      <c r="AI50" s="590">
        <f t="shared" si="30"/>
        <v>1600</v>
      </c>
      <c r="AJ50" s="599">
        <f t="shared" si="192"/>
        <v>1336</v>
      </c>
      <c r="AK50" s="590">
        <f t="shared" si="11"/>
        <v>-29.8</v>
      </c>
      <c r="AL50" s="599">
        <v>71</v>
      </c>
      <c r="AM50" s="599">
        <v>3980</v>
      </c>
      <c r="AN50" s="599">
        <v>160</v>
      </c>
      <c r="AO50" s="590">
        <f t="shared" si="12"/>
        <v>125.4</v>
      </c>
      <c r="AP50" s="599">
        <v>3172</v>
      </c>
      <c r="AQ50" s="590">
        <f t="shared" si="13"/>
        <v>-20.3</v>
      </c>
      <c r="AR50" s="599">
        <f t="shared" si="193"/>
        <v>130</v>
      </c>
      <c r="AS50" s="599">
        <f t="shared" si="194"/>
        <v>973</v>
      </c>
      <c r="AT50" s="599">
        <f t="shared" si="195"/>
        <v>78</v>
      </c>
      <c r="AU50" s="590">
        <f t="shared" si="33"/>
        <v>-40</v>
      </c>
      <c r="AV50" s="599">
        <f t="shared" si="196"/>
        <v>1916</v>
      </c>
      <c r="AW50" s="590">
        <f t="shared" si="14"/>
        <v>96.9</v>
      </c>
      <c r="AX50" s="599">
        <v>201</v>
      </c>
      <c r="AY50" s="599">
        <v>4953</v>
      </c>
      <c r="AZ50" s="599">
        <v>238</v>
      </c>
      <c r="BA50" s="590">
        <f t="shared" si="15"/>
        <v>18.399999999999999</v>
      </c>
      <c r="BB50" s="599">
        <v>5088</v>
      </c>
      <c r="BC50" s="590">
        <f t="shared" si="16"/>
        <v>2.7</v>
      </c>
      <c r="BD50" s="599">
        <f t="shared" si="197"/>
        <v>39</v>
      </c>
      <c r="BE50" s="599">
        <f t="shared" si="197"/>
        <v>1318</v>
      </c>
      <c r="BF50" s="599">
        <f t="shared" si="197"/>
        <v>38</v>
      </c>
      <c r="BG50" s="590">
        <f t="shared" si="36"/>
        <v>-2.6</v>
      </c>
      <c r="BH50" s="599">
        <f t="shared" si="198"/>
        <v>1187</v>
      </c>
      <c r="BI50" s="590">
        <f t="shared" si="17"/>
        <v>-9.9</v>
      </c>
      <c r="BJ50" s="599">
        <v>240</v>
      </c>
      <c r="BK50" s="599">
        <v>6271</v>
      </c>
      <c r="BL50" s="599">
        <v>276</v>
      </c>
      <c r="BM50" s="590">
        <f t="shared" si="18"/>
        <v>15</v>
      </c>
      <c r="BN50" s="599">
        <v>6275</v>
      </c>
      <c r="BO50" s="590">
        <f t="shared" si="19"/>
        <v>0.1</v>
      </c>
    </row>
    <row r="51" spans="1:67" ht="21.75" customHeight="1">
      <c r="A51" s="805"/>
      <c r="B51" s="805"/>
      <c r="C51" s="660" t="s">
        <v>252</v>
      </c>
      <c r="D51" s="603">
        <v>19532</v>
      </c>
      <c r="E51" s="603">
        <v>249510</v>
      </c>
      <c r="F51" s="603">
        <v>15056</v>
      </c>
      <c r="G51" s="603">
        <v>275061</v>
      </c>
      <c r="H51" s="603">
        <v>16705</v>
      </c>
      <c r="I51" s="603">
        <v>290959</v>
      </c>
      <c r="J51" s="603">
        <v>11822</v>
      </c>
      <c r="K51" s="603">
        <v>239271</v>
      </c>
      <c r="L51" s="603">
        <v>11028</v>
      </c>
      <c r="M51" s="603">
        <v>239267</v>
      </c>
      <c r="N51" s="603">
        <v>263</v>
      </c>
      <c r="O51" s="603">
        <v>21937</v>
      </c>
      <c r="P51" s="603">
        <v>1443</v>
      </c>
      <c r="Q51" s="591">
        <f t="shared" si="6"/>
        <v>448.7</v>
      </c>
      <c r="R51" s="603">
        <v>18216</v>
      </c>
      <c r="S51" s="591">
        <f t="shared" si="7"/>
        <v>-17</v>
      </c>
      <c r="T51" s="603">
        <f t="shared" si="185"/>
        <v>1086</v>
      </c>
      <c r="U51" s="603">
        <f t="shared" si="186"/>
        <v>13470</v>
      </c>
      <c r="V51" s="603">
        <f t="shared" si="187"/>
        <v>1318</v>
      </c>
      <c r="W51" s="591">
        <f t="shared" si="25"/>
        <v>21.4</v>
      </c>
      <c r="X51" s="603">
        <f t="shared" si="188"/>
        <v>19350</v>
      </c>
      <c r="Y51" s="591">
        <f t="shared" si="8"/>
        <v>43.7</v>
      </c>
      <c r="Z51" s="603">
        <v>1349</v>
      </c>
      <c r="AA51" s="603">
        <v>35407</v>
      </c>
      <c r="AB51" s="603">
        <v>2761</v>
      </c>
      <c r="AC51" s="591">
        <f t="shared" si="9"/>
        <v>104.7</v>
      </c>
      <c r="AD51" s="603">
        <v>37566</v>
      </c>
      <c r="AE51" s="591">
        <f t="shared" si="10"/>
        <v>6.1</v>
      </c>
      <c r="AF51" s="603">
        <f t="shared" si="189"/>
        <v>203</v>
      </c>
      <c r="AG51" s="603">
        <f t="shared" si="190"/>
        <v>32457</v>
      </c>
      <c r="AH51" s="603">
        <f t="shared" si="191"/>
        <v>1683</v>
      </c>
      <c r="AI51" s="591">
        <f t="shared" si="30"/>
        <v>729.1</v>
      </c>
      <c r="AJ51" s="603">
        <f t="shared" si="192"/>
        <v>31818</v>
      </c>
      <c r="AK51" s="591">
        <f t="shared" si="11"/>
        <v>-2</v>
      </c>
      <c r="AL51" s="603">
        <v>1552</v>
      </c>
      <c r="AM51" s="603">
        <v>67864</v>
      </c>
      <c r="AN51" s="603">
        <v>4444</v>
      </c>
      <c r="AO51" s="591">
        <f t="shared" si="12"/>
        <v>186.3</v>
      </c>
      <c r="AP51" s="603">
        <v>69384</v>
      </c>
      <c r="AQ51" s="591">
        <f t="shared" si="13"/>
        <v>2.2000000000000002</v>
      </c>
      <c r="AR51" s="603">
        <f t="shared" si="193"/>
        <v>2151</v>
      </c>
      <c r="AS51" s="603">
        <f t="shared" si="194"/>
        <v>15530</v>
      </c>
      <c r="AT51" s="603">
        <f t="shared" si="195"/>
        <v>2646</v>
      </c>
      <c r="AU51" s="591">
        <f t="shared" si="33"/>
        <v>23</v>
      </c>
      <c r="AV51" s="603">
        <f t="shared" si="196"/>
        <v>49943</v>
      </c>
      <c r="AW51" s="591">
        <f t="shared" si="14"/>
        <v>221.6</v>
      </c>
      <c r="AX51" s="603">
        <v>3703</v>
      </c>
      <c r="AY51" s="603">
        <v>83394</v>
      </c>
      <c r="AZ51" s="603">
        <v>7090</v>
      </c>
      <c r="BA51" s="591">
        <f t="shared" si="15"/>
        <v>91.5</v>
      </c>
      <c r="BB51" s="603">
        <v>119327</v>
      </c>
      <c r="BC51" s="591">
        <f t="shared" si="16"/>
        <v>43.1</v>
      </c>
      <c r="BD51" s="603">
        <f t="shared" si="197"/>
        <v>610</v>
      </c>
      <c r="BE51" s="603">
        <f t="shared" si="197"/>
        <v>20748</v>
      </c>
      <c r="BF51" s="603">
        <f t="shared" si="197"/>
        <v>1004</v>
      </c>
      <c r="BG51" s="591">
        <f t="shared" si="36"/>
        <v>64.599999999999994</v>
      </c>
      <c r="BH51" s="603">
        <f t="shared" si="198"/>
        <v>33636</v>
      </c>
      <c r="BI51" s="591">
        <f t="shared" si="17"/>
        <v>62.1</v>
      </c>
      <c r="BJ51" s="603">
        <v>4313</v>
      </c>
      <c r="BK51" s="603">
        <v>104142</v>
      </c>
      <c r="BL51" s="603">
        <v>8094</v>
      </c>
      <c r="BM51" s="591">
        <f t="shared" si="18"/>
        <v>87.7</v>
      </c>
      <c r="BN51" s="603">
        <v>152963</v>
      </c>
      <c r="BO51" s="591">
        <f t="shared" si="19"/>
        <v>46.9</v>
      </c>
    </row>
    <row r="52" spans="1:67" ht="21.75" customHeight="1">
      <c r="A52" s="805"/>
      <c r="B52" s="809" t="s">
        <v>254</v>
      </c>
      <c r="C52" s="114" t="s">
        <v>569</v>
      </c>
      <c r="D52" s="599">
        <f t="shared" ref="D52:H53" si="199">D54-D48-D50</f>
        <v>952</v>
      </c>
      <c r="E52" s="599">
        <f t="shared" si="199"/>
        <v>1599</v>
      </c>
      <c r="F52" s="599">
        <f t="shared" si="199"/>
        <v>907</v>
      </c>
      <c r="G52" s="599">
        <f t="shared" si="199"/>
        <v>1721</v>
      </c>
      <c r="H52" s="599">
        <f t="shared" si="199"/>
        <v>1019</v>
      </c>
      <c r="I52" s="599">
        <f t="shared" ref="I52:J53" si="200">I54-I48-I50</f>
        <v>1471</v>
      </c>
      <c r="J52" s="599">
        <f t="shared" si="200"/>
        <v>1099</v>
      </c>
      <c r="K52" s="599">
        <f>K54-K48-K50</f>
        <v>1535</v>
      </c>
      <c r="L52" s="599">
        <f t="shared" ref="L52" si="201">L54-L48-L50</f>
        <v>1265</v>
      </c>
      <c r="M52" s="599">
        <f>M54-M48-M50</f>
        <v>795</v>
      </c>
      <c r="N52" s="599">
        <f t="shared" ref="N52" si="202">N54-N48-N50</f>
        <v>81</v>
      </c>
      <c r="O52" s="599">
        <f>O54-O48-O50</f>
        <v>59</v>
      </c>
      <c r="P52" s="599">
        <f>P54-P48-P50</f>
        <v>93</v>
      </c>
      <c r="Q52" s="590">
        <f t="shared" si="6"/>
        <v>14.8</v>
      </c>
      <c r="R52" s="599">
        <f>R54-R48-R50</f>
        <v>54</v>
      </c>
      <c r="S52" s="590">
        <f t="shared" si="7"/>
        <v>-8.5</v>
      </c>
      <c r="T52" s="599">
        <f t="shared" ref="T52:V53" si="203">T54-T48-T50</f>
        <v>94</v>
      </c>
      <c r="U52" s="599">
        <f t="shared" si="203"/>
        <v>66</v>
      </c>
      <c r="V52" s="599">
        <f t="shared" si="203"/>
        <v>104</v>
      </c>
      <c r="W52" s="590">
        <f t="shared" si="25"/>
        <v>10.6</v>
      </c>
      <c r="X52" s="599">
        <f>X54-X48-X50</f>
        <v>84</v>
      </c>
      <c r="Y52" s="590">
        <f t="shared" si="8"/>
        <v>27.3</v>
      </c>
      <c r="Z52" s="599">
        <f t="shared" ref="Z52" si="204">Z54-Z48-Z50</f>
        <v>175</v>
      </c>
      <c r="AA52" s="599">
        <f t="shared" ref="AA52:AB53" si="205">AA54-AA48-AA50</f>
        <v>125</v>
      </c>
      <c r="AB52" s="599">
        <f t="shared" si="205"/>
        <v>197</v>
      </c>
      <c r="AC52" s="590">
        <f t="shared" si="9"/>
        <v>12.6</v>
      </c>
      <c r="AD52" s="599">
        <f t="shared" ref="AD52" si="206">AD54-AD48-AD50</f>
        <v>138</v>
      </c>
      <c r="AE52" s="590">
        <f t="shared" si="10"/>
        <v>10.4</v>
      </c>
      <c r="AF52" s="599">
        <f t="shared" ref="AF52:AH53" si="207">AF54-AF48-AF50</f>
        <v>120</v>
      </c>
      <c r="AG52" s="599">
        <f t="shared" si="207"/>
        <v>62</v>
      </c>
      <c r="AH52" s="599">
        <f t="shared" si="207"/>
        <v>145</v>
      </c>
      <c r="AI52" s="590">
        <f t="shared" si="30"/>
        <v>20.8</v>
      </c>
      <c r="AJ52" s="599">
        <f>AJ54-AJ48-AJ50</f>
        <v>47</v>
      </c>
      <c r="AK52" s="590">
        <f t="shared" si="11"/>
        <v>-24.2</v>
      </c>
      <c r="AL52" s="599">
        <f t="shared" ref="AL52" si="208">AL54-AL48-AL50</f>
        <v>295</v>
      </c>
      <c r="AM52" s="599">
        <f>AM54-AM48-AM50</f>
        <v>187</v>
      </c>
      <c r="AN52" s="599">
        <f>AN54-AN48-AN50</f>
        <v>342</v>
      </c>
      <c r="AO52" s="590">
        <f t="shared" si="12"/>
        <v>15.9</v>
      </c>
      <c r="AP52" s="599">
        <f>AP54-AP48-AP50</f>
        <v>185</v>
      </c>
      <c r="AQ52" s="590">
        <f t="shared" si="13"/>
        <v>-1.1000000000000001</v>
      </c>
      <c r="AR52" s="599">
        <f t="shared" ref="AR52:AT52" si="209">AR54-AR48-AR50</f>
        <v>68</v>
      </c>
      <c r="AS52" s="599">
        <f t="shared" si="209"/>
        <v>73</v>
      </c>
      <c r="AT52" s="599">
        <f t="shared" si="209"/>
        <v>114</v>
      </c>
      <c r="AU52" s="590">
        <f t="shared" si="33"/>
        <v>67.599999999999994</v>
      </c>
      <c r="AV52" s="599">
        <f>AV54-AV48-AV50</f>
        <v>80</v>
      </c>
      <c r="AW52" s="590">
        <f t="shared" si="14"/>
        <v>9.6</v>
      </c>
      <c r="AX52" s="599">
        <f t="shared" ref="AX52" si="210">AX54-AX48-AX50</f>
        <v>363</v>
      </c>
      <c r="AY52" s="599">
        <f>AY54-AY48-AY50</f>
        <v>260</v>
      </c>
      <c r="AZ52" s="599">
        <f>AZ54-AZ48-AZ50</f>
        <v>456</v>
      </c>
      <c r="BA52" s="590">
        <f t="shared" si="15"/>
        <v>25.6</v>
      </c>
      <c r="BB52" s="599">
        <f>BB54-BB48-BB50</f>
        <v>265</v>
      </c>
      <c r="BC52" s="590">
        <f t="shared" si="16"/>
        <v>1.9</v>
      </c>
      <c r="BD52" s="599">
        <f t="shared" ref="BD52:BF53" si="211">BD54-BD48-BD50</f>
        <v>46</v>
      </c>
      <c r="BE52" s="599">
        <f t="shared" si="211"/>
        <v>62</v>
      </c>
      <c r="BF52" s="599">
        <f t="shared" si="211"/>
        <v>115</v>
      </c>
      <c r="BG52" s="590">
        <f t="shared" si="36"/>
        <v>150</v>
      </c>
      <c r="BH52" s="599">
        <f>BH54-BH48-BH50</f>
        <v>55</v>
      </c>
      <c r="BI52" s="590">
        <f t="shared" si="17"/>
        <v>-11.3</v>
      </c>
      <c r="BJ52" s="599">
        <f t="shared" ref="BJ52:BJ53" si="212">BJ54-BJ48-BJ50</f>
        <v>409</v>
      </c>
      <c r="BK52" s="599">
        <f>BK54-BK48-BK50</f>
        <v>322</v>
      </c>
      <c r="BL52" s="599">
        <f>BL54-BL48-BL50</f>
        <v>571</v>
      </c>
      <c r="BM52" s="590">
        <f t="shared" si="18"/>
        <v>39.6</v>
      </c>
      <c r="BN52" s="599">
        <f>BN54-BN48-BN50</f>
        <v>320</v>
      </c>
      <c r="BO52" s="590">
        <f t="shared" si="19"/>
        <v>-0.6</v>
      </c>
    </row>
    <row r="53" spans="1:67" ht="21.75" customHeight="1">
      <c r="A53" s="805"/>
      <c r="B53" s="805"/>
      <c r="C53" s="660" t="s">
        <v>252</v>
      </c>
      <c r="D53" s="603">
        <f t="shared" si="199"/>
        <v>24521</v>
      </c>
      <c r="E53" s="603">
        <f t="shared" si="199"/>
        <v>25626</v>
      </c>
      <c r="F53" s="603">
        <f t="shared" si="199"/>
        <v>28403</v>
      </c>
      <c r="G53" s="603">
        <f t="shared" si="199"/>
        <v>31196</v>
      </c>
      <c r="H53" s="603">
        <f t="shared" si="199"/>
        <v>30931</v>
      </c>
      <c r="I53" s="603">
        <f t="shared" si="200"/>
        <v>36035</v>
      </c>
      <c r="J53" s="603">
        <f t="shared" si="200"/>
        <v>29925</v>
      </c>
      <c r="K53" s="603">
        <f>K55-K49-K51</f>
        <v>38602</v>
      </c>
      <c r="L53" s="603">
        <f t="shared" ref="L53" si="213">L55-L49-L51</f>
        <v>36681</v>
      </c>
      <c r="M53" s="603">
        <f>M55-M49-M51</f>
        <v>28939</v>
      </c>
      <c r="N53" s="603">
        <f t="shared" ref="N53" si="214">N55-N49-N51</f>
        <v>2422</v>
      </c>
      <c r="O53" s="603">
        <f>O55-O49-O51</f>
        <v>2120</v>
      </c>
      <c r="P53" s="603">
        <f>P55-P49-P51</f>
        <v>2918</v>
      </c>
      <c r="Q53" s="591">
        <f t="shared" si="6"/>
        <v>20.5</v>
      </c>
      <c r="R53" s="603">
        <f>R55-R49-R51</f>
        <v>2470</v>
      </c>
      <c r="S53" s="591">
        <f t="shared" si="7"/>
        <v>16.5</v>
      </c>
      <c r="T53" s="603">
        <f t="shared" si="203"/>
        <v>3374</v>
      </c>
      <c r="U53" s="603">
        <f t="shared" si="203"/>
        <v>2567</v>
      </c>
      <c r="V53" s="603">
        <f t="shared" si="203"/>
        <v>3085</v>
      </c>
      <c r="W53" s="591">
        <f t="shared" si="25"/>
        <v>-8.6</v>
      </c>
      <c r="X53" s="603">
        <f>X55-X49-X51</f>
        <v>4616</v>
      </c>
      <c r="Y53" s="591">
        <f t="shared" si="8"/>
        <v>79.8</v>
      </c>
      <c r="Z53" s="603">
        <f t="shared" ref="Z53" si="215">Z55-Z49-Z51</f>
        <v>5796</v>
      </c>
      <c r="AA53" s="603">
        <f t="shared" si="205"/>
        <v>4687</v>
      </c>
      <c r="AB53" s="603">
        <f t="shared" si="205"/>
        <v>6003</v>
      </c>
      <c r="AC53" s="591">
        <f t="shared" si="9"/>
        <v>3.6</v>
      </c>
      <c r="AD53" s="603">
        <f t="shared" ref="AD53" si="216">AD55-AD49-AD51</f>
        <v>7086</v>
      </c>
      <c r="AE53" s="591">
        <f t="shared" si="10"/>
        <v>51.2</v>
      </c>
      <c r="AF53" s="603">
        <f t="shared" si="207"/>
        <v>2423</v>
      </c>
      <c r="AG53" s="603">
        <f t="shared" si="207"/>
        <v>2205</v>
      </c>
      <c r="AH53" s="603">
        <f t="shared" si="207"/>
        <v>3615</v>
      </c>
      <c r="AI53" s="591">
        <f t="shared" si="30"/>
        <v>49.2</v>
      </c>
      <c r="AJ53" s="603">
        <f>AJ55-AJ49-AJ51</f>
        <v>1907</v>
      </c>
      <c r="AK53" s="591">
        <f t="shared" si="11"/>
        <v>-13.5</v>
      </c>
      <c r="AL53" s="603">
        <f t="shared" ref="AL53" si="217">AL55-AL49-AL51</f>
        <v>8219</v>
      </c>
      <c r="AM53" s="603">
        <f>AM55-AM49-AM51</f>
        <v>6892</v>
      </c>
      <c r="AN53" s="603">
        <f>AN55-AN49-AN51</f>
        <v>9618</v>
      </c>
      <c r="AO53" s="591">
        <f t="shared" si="12"/>
        <v>17</v>
      </c>
      <c r="AP53" s="603">
        <f>AP55-AP49-AP51</f>
        <v>8993</v>
      </c>
      <c r="AQ53" s="591">
        <f t="shared" si="13"/>
        <v>30.5</v>
      </c>
      <c r="AR53" s="603">
        <f t="shared" ref="AR53:AT53" si="218">AR55-AR49-AR51</f>
        <v>2022</v>
      </c>
      <c r="AS53" s="603">
        <f t="shared" si="218"/>
        <v>2200</v>
      </c>
      <c r="AT53" s="603">
        <f t="shared" si="218"/>
        <v>4146</v>
      </c>
      <c r="AU53" s="591">
        <f t="shared" si="33"/>
        <v>105</v>
      </c>
      <c r="AV53" s="603">
        <f>AV55-AV49-AV51</f>
        <v>3569</v>
      </c>
      <c r="AW53" s="591">
        <f t="shared" si="14"/>
        <v>62.2</v>
      </c>
      <c r="AX53" s="603">
        <f t="shared" ref="AX53" si="219">AX55-AX49-AX51</f>
        <v>10241</v>
      </c>
      <c r="AY53" s="603">
        <f>AY55-AY49-AY51</f>
        <v>9092</v>
      </c>
      <c r="AZ53" s="603">
        <f>AZ55-AZ49-AZ51</f>
        <v>13764</v>
      </c>
      <c r="BA53" s="591">
        <f t="shared" si="15"/>
        <v>34.4</v>
      </c>
      <c r="BB53" s="603">
        <f>BB55-BB49-BB51</f>
        <v>12562</v>
      </c>
      <c r="BC53" s="591">
        <f t="shared" si="16"/>
        <v>38.200000000000003</v>
      </c>
      <c r="BD53" s="603">
        <f t="shared" si="211"/>
        <v>1871</v>
      </c>
      <c r="BE53" s="603">
        <f t="shared" si="211"/>
        <v>1724</v>
      </c>
      <c r="BF53" s="603">
        <f t="shared" si="211"/>
        <v>3473</v>
      </c>
      <c r="BG53" s="591">
        <f t="shared" si="36"/>
        <v>85.6</v>
      </c>
      <c r="BH53" s="603">
        <f>BH55-BH49-BH51</f>
        <v>2018</v>
      </c>
      <c r="BI53" s="591">
        <f t="shared" si="17"/>
        <v>17.100000000000001</v>
      </c>
      <c r="BJ53" s="603">
        <f t="shared" si="212"/>
        <v>12112</v>
      </c>
      <c r="BK53" s="603">
        <f>BK55-BK49-BK51</f>
        <v>10816</v>
      </c>
      <c r="BL53" s="603">
        <f>BL55-BL49-BL51</f>
        <v>17237</v>
      </c>
      <c r="BM53" s="591">
        <f t="shared" si="18"/>
        <v>42.3</v>
      </c>
      <c r="BN53" s="603">
        <f>BN55-BN49-BN51</f>
        <v>14580</v>
      </c>
      <c r="BO53" s="591">
        <f t="shared" si="19"/>
        <v>34.799999999999997</v>
      </c>
    </row>
    <row r="54" spans="1:67" ht="21.75" customHeight="1">
      <c r="A54" s="805"/>
      <c r="B54" s="810" t="s">
        <v>255</v>
      </c>
      <c r="C54" s="120" t="s">
        <v>569</v>
      </c>
      <c r="D54" s="601">
        <v>2196</v>
      </c>
      <c r="E54" s="601">
        <v>16766</v>
      </c>
      <c r="F54" s="601">
        <v>1907</v>
      </c>
      <c r="G54" s="601">
        <v>15314</v>
      </c>
      <c r="H54" s="601">
        <v>2039</v>
      </c>
      <c r="I54" s="601">
        <v>15854</v>
      </c>
      <c r="J54" s="601">
        <v>2084</v>
      </c>
      <c r="K54" s="601">
        <v>14083</v>
      </c>
      <c r="L54" s="601">
        <v>1981</v>
      </c>
      <c r="M54" s="601">
        <v>14851</v>
      </c>
      <c r="N54" s="601">
        <v>93</v>
      </c>
      <c r="O54" s="601">
        <v>1347</v>
      </c>
      <c r="P54" s="601">
        <v>147</v>
      </c>
      <c r="Q54" s="592">
        <f t="shared" si="6"/>
        <v>58.1</v>
      </c>
      <c r="R54" s="601">
        <v>987</v>
      </c>
      <c r="S54" s="592">
        <f t="shared" si="7"/>
        <v>-26.7</v>
      </c>
      <c r="T54" s="601">
        <f t="shared" ref="T54:V55" si="220">Z54-N54</f>
        <v>149</v>
      </c>
      <c r="U54" s="601">
        <f t="shared" si="220"/>
        <v>854</v>
      </c>
      <c r="V54" s="601">
        <f t="shared" si="220"/>
        <v>160</v>
      </c>
      <c r="W54" s="592">
        <f t="shared" si="25"/>
        <v>7.4</v>
      </c>
      <c r="X54" s="601">
        <f>AD54-R54</f>
        <v>998</v>
      </c>
      <c r="Y54" s="592">
        <f t="shared" si="8"/>
        <v>16.899999999999999</v>
      </c>
      <c r="Z54" s="601">
        <v>242</v>
      </c>
      <c r="AA54" s="601">
        <v>2201</v>
      </c>
      <c r="AB54" s="601">
        <v>307</v>
      </c>
      <c r="AC54" s="592">
        <f t="shared" si="9"/>
        <v>26.9</v>
      </c>
      <c r="AD54" s="601">
        <v>1985</v>
      </c>
      <c r="AE54" s="592">
        <f t="shared" si="10"/>
        <v>-9.8000000000000007</v>
      </c>
      <c r="AF54" s="601">
        <f t="shared" ref="AF54:AH55" si="221">AL54-Z54</f>
        <v>151</v>
      </c>
      <c r="AG54" s="601">
        <f t="shared" si="221"/>
        <v>1975</v>
      </c>
      <c r="AH54" s="601">
        <f t="shared" si="221"/>
        <v>213</v>
      </c>
      <c r="AI54" s="592">
        <f t="shared" si="30"/>
        <v>41.1</v>
      </c>
      <c r="AJ54" s="601">
        <f>AP54-AD54</f>
        <v>1393</v>
      </c>
      <c r="AK54" s="592">
        <f t="shared" si="11"/>
        <v>-29.5</v>
      </c>
      <c r="AL54" s="601">
        <v>393</v>
      </c>
      <c r="AM54" s="601">
        <v>4176</v>
      </c>
      <c r="AN54" s="601">
        <v>520</v>
      </c>
      <c r="AO54" s="592">
        <f t="shared" si="12"/>
        <v>32.299999999999997</v>
      </c>
      <c r="AP54" s="601">
        <v>3378</v>
      </c>
      <c r="AQ54" s="592">
        <f t="shared" si="13"/>
        <v>-19.100000000000001</v>
      </c>
      <c r="AR54" s="601">
        <f t="shared" ref="AR54:AR55" si="222">AX54-AL54</f>
        <v>206</v>
      </c>
      <c r="AS54" s="601">
        <f t="shared" ref="AS54:AS55" si="223">AY54-AM54</f>
        <v>1046</v>
      </c>
      <c r="AT54" s="601">
        <f t="shared" ref="AT54:AT55" si="224">AZ54-AN54</f>
        <v>192</v>
      </c>
      <c r="AU54" s="592">
        <f t="shared" si="33"/>
        <v>-6.8</v>
      </c>
      <c r="AV54" s="601">
        <f>BB54-AP54</f>
        <v>1996</v>
      </c>
      <c r="AW54" s="592">
        <f t="shared" si="14"/>
        <v>90.8</v>
      </c>
      <c r="AX54" s="601">
        <v>599</v>
      </c>
      <c r="AY54" s="601">
        <v>5222</v>
      </c>
      <c r="AZ54" s="601">
        <v>712</v>
      </c>
      <c r="BA54" s="592">
        <f t="shared" si="15"/>
        <v>18.899999999999999</v>
      </c>
      <c r="BB54" s="601">
        <v>5374</v>
      </c>
      <c r="BC54" s="592">
        <f t="shared" si="16"/>
        <v>2.9</v>
      </c>
      <c r="BD54" s="601">
        <f t="shared" ref="BD54:BF55" si="225">BJ54-AX54</f>
        <v>98</v>
      </c>
      <c r="BE54" s="601">
        <f t="shared" si="225"/>
        <v>1380</v>
      </c>
      <c r="BF54" s="601">
        <f t="shared" si="225"/>
        <v>172</v>
      </c>
      <c r="BG54" s="592">
        <f t="shared" si="36"/>
        <v>75.5</v>
      </c>
      <c r="BH54" s="601">
        <f>BN54-BB54</f>
        <v>1242</v>
      </c>
      <c r="BI54" s="592">
        <f t="shared" si="17"/>
        <v>-10</v>
      </c>
      <c r="BJ54" s="601">
        <v>697</v>
      </c>
      <c r="BK54" s="601">
        <v>6602</v>
      </c>
      <c r="BL54" s="601">
        <v>884</v>
      </c>
      <c r="BM54" s="592">
        <f t="shared" si="18"/>
        <v>26.8</v>
      </c>
      <c r="BN54" s="601">
        <v>6616</v>
      </c>
      <c r="BO54" s="592">
        <f t="shared" si="19"/>
        <v>0.2</v>
      </c>
    </row>
    <row r="55" spans="1:67" ht="21.75" customHeight="1">
      <c r="A55" s="805"/>
      <c r="B55" s="810"/>
      <c r="C55" s="661" t="s">
        <v>252</v>
      </c>
      <c r="D55" s="662">
        <v>45772</v>
      </c>
      <c r="E55" s="662">
        <v>276651</v>
      </c>
      <c r="F55" s="662">
        <v>44828</v>
      </c>
      <c r="G55" s="662">
        <v>307166</v>
      </c>
      <c r="H55" s="662">
        <v>49238</v>
      </c>
      <c r="I55" s="662">
        <v>328296</v>
      </c>
      <c r="J55" s="662">
        <v>42847</v>
      </c>
      <c r="K55" s="662">
        <v>278477</v>
      </c>
      <c r="L55" s="662">
        <v>48605</v>
      </c>
      <c r="M55" s="662">
        <v>268491</v>
      </c>
      <c r="N55" s="662">
        <v>2685</v>
      </c>
      <c r="O55" s="662">
        <v>24057</v>
      </c>
      <c r="P55" s="662">
        <v>4361</v>
      </c>
      <c r="Q55" s="663">
        <f t="shared" si="6"/>
        <v>62.4</v>
      </c>
      <c r="R55" s="662">
        <v>20686</v>
      </c>
      <c r="S55" s="663">
        <f t="shared" si="7"/>
        <v>-14</v>
      </c>
      <c r="T55" s="662">
        <f t="shared" si="220"/>
        <v>4461</v>
      </c>
      <c r="U55" s="662">
        <f t="shared" si="220"/>
        <v>16037</v>
      </c>
      <c r="V55" s="662">
        <f t="shared" si="220"/>
        <v>4606</v>
      </c>
      <c r="W55" s="663">
        <f t="shared" si="25"/>
        <v>3.3</v>
      </c>
      <c r="X55" s="662">
        <f>AD55-R55</f>
        <v>24059</v>
      </c>
      <c r="Y55" s="663">
        <f t="shared" si="8"/>
        <v>50</v>
      </c>
      <c r="Z55" s="662">
        <v>7146</v>
      </c>
      <c r="AA55" s="662">
        <v>40094</v>
      </c>
      <c r="AB55" s="662">
        <v>8967</v>
      </c>
      <c r="AC55" s="663">
        <f t="shared" si="9"/>
        <v>25.5</v>
      </c>
      <c r="AD55" s="662">
        <v>44745</v>
      </c>
      <c r="AE55" s="663">
        <f t="shared" si="10"/>
        <v>11.6</v>
      </c>
      <c r="AF55" s="662">
        <f t="shared" si="221"/>
        <v>2845</v>
      </c>
      <c r="AG55" s="662">
        <f t="shared" si="221"/>
        <v>34673</v>
      </c>
      <c r="AH55" s="662">
        <f t="shared" si="221"/>
        <v>5298</v>
      </c>
      <c r="AI55" s="663">
        <f t="shared" si="30"/>
        <v>86.2</v>
      </c>
      <c r="AJ55" s="662">
        <f>AP55-AD55</f>
        <v>33734</v>
      </c>
      <c r="AK55" s="663">
        <f t="shared" si="11"/>
        <v>-2.7</v>
      </c>
      <c r="AL55" s="662">
        <v>9991</v>
      </c>
      <c r="AM55" s="662">
        <v>74767</v>
      </c>
      <c r="AN55" s="662">
        <v>14265</v>
      </c>
      <c r="AO55" s="663">
        <f t="shared" si="12"/>
        <v>42.8</v>
      </c>
      <c r="AP55" s="662">
        <v>78479</v>
      </c>
      <c r="AQ55" s="663">
        <f t="shared" si="13"/>
        <v>5</v>
      </c>
      <c r="AR55" s="662">
        <f t="shared" si="222"/>
        <v>4240</v>
      </c>
      <c r="AS55" s="662">
        <f t="shared" si="223"/>
        <v>17730</v>
      </c>
      <c r="AT55" s="662">
        <f t="shared" si="224"/>
        <v>6793</v>
      </c>
      <c r="AU55" s="663">
        <f t="shared" si="33"/>
        <v>60.2</v>
      </c>
      <c r="AV55" s="662">
        <f>BB55-AP55</f>
        <v>53512</v>
      </c>
      <c r="AW55" s="663">
        <f t="shared" si="14"/>
        <v>201.8</v>
      </c>
      <c r="AX55" s="662">
        <v>14231</v>
      </c>
      <c r="AY55" s="662">
        <v>92497</v>
      </c>
      <c r="AZ55" s="662">
        <v>21058</v>
      </c>
      <c r="BA55" s="663">
        <f t="shared" si="15"/>
        <v>48</v>
      </c>
      <c r="BB55" s="662">
        <v>131991</v>
      </c>
      <c r="BC55" s="663">
        <f t="shared" si="16"/>
        <v>42.7</v>
      </c>
      <c r="BD55" s="662">
        <f t="shared" si="225"/>
        <v>2604</v>
      </c>
      <c r="BE55" s="662">
        <f t="shared" si="225"/>
        <v>22473</v>
      </c>
      <c r="BF55" s="662">
        <f t="shared" si="225"/>
        <v>4624</v>
      </c>
      <c r="BG55" s="663">
        <f t="shared" si="36"/>
        <v>77.599999999999994</v>
      </c>
      <c r="BH55" s="662">
        <f>BN55-BB55</f>
        <v>35654</v>
      </c>
      <c r="BI55" s="663">
        <f t="shared" si="17"/>
        <v>58.7</v>
      </c>
      <c r="BJ55" s="662">
        <v>16835</v>
      </c>
      <c r="BK55" s="662">
        <v>114970</v>
      </c>
      <c r="BL55" s="662">
        <v>25682</v>
      </c>
      <c r="BM55" s="663">
        <f t="shared" si="18"/>
        <v>52.6</v>
      </c>
      <c r="BN55" s="662">
        <v>167645</v>
      </c>
      <c r="BO55" s="663">
        <f t="shared" si="19"/>
        <v>45.8</v>
      </c>
    </row>
    <row r="56" spans="1:67" ht="21.75" customHeight="1">
      <c r="A56" s="804" t="s">
        <v>261</v>
      </c>
      <c r="B56" s="806" t="s">
        <v>251</v>
      </c>
      <c r="C56" s="126" t="s">
        <v>569</v>
      </c>
      <c r="D56" s="604">
        <f t="shared" ref="D56:H61" si="226">SUM(D8+D16+D24+D32+D40+D48)</f>
        <v>113094</v>
      </c>
      <c r="E56" s="604">
        <f t="shared" si="226"/>
        <v>995355</v>
      </c>
      <c r="F56" s="604">
        <f t="shared" si="226"/>
        <v>122066</v>
      </c>
      <c r="G56" s="604">
        <f t="shared" si="226"/>
        <v>1135195</v>
      </c>
      <c r="H56" s="604">
        <f t="shared" si="226"/>
        <v>99341</v>
      </c>
      <c r="I56" s="604">
        <f t="shared" ref="I56:L61" si="227">SUM(I8+I16+I24+I32+I40+I48)</f>
        <v>1121649</v>
      </c>
      <c r="J56" s="604">
        <f t="shared" si="227"/>
        <v>117701</v>
      </c>
      <c r="K56" s="604">
        <f t="shared" si="227"/>
        <v>1255599</v>
      </c>
      <c r="L56" s="604">
        <f t="shared" si="227"/>
        <v>103963</v>
      </c>
      <c r="M56" s="604">
        <f t="shared" ref="M56:O61" si="228">SUM(M8+M16+M24+M32+M40+M48)</f>
        <v>1307755</v>
      </c>
      <c r="N56" s="604">
        <f t="shared" si="228"/>
        <v>7812</v>
      </c>
      <c r="O56" s="604">
        <f t="shared" si="228"/>
        <v>112410</v>
      </c>
      <c r="P56" s="604">
        <f t="shared" ref="P56" si="229">SUM(P8+P16+P24+P32+P40+P48)</f>
        <v>6013</v>
      </c>
      <c r="Q56" s="593">
        <f t="shared" si="6"/>
        <v>-23</v>
      </c>
      <c r="R56" s="604">
        <f t="shared" ref="R56" si="230">SUM(R8+R16+R24+R32+R40+R48)</f>
        <v>99629</v>
      </c>
      <c r="S56" s="593">
        <f t="shared" si="7"/>
        <v>-11.4</v>
      </c>
      <c r="T56" s="604">
        <f t="shared" ref="T56:V61" si="231">SUM(T8+T16+T24+T32+T40+T48)</f>
        <v>5143</v>
      </c>
      <c r="U56" s="604">
        <f t="shared" si="231"/>
        <v>110045</v>
      </c>
      <c r="V56" s="604">
        <f t="shared" si="231"/>
        <v>6959</v>
      </c>
      <c r="W56" s="593">
        <f t="shared" si="25"/>
        <v>35.299999999999997</v>
      </c>
      <c r="X56" s="604">
        <f t="shared" ref="X56:X61" si="232">SUM(X8+X16+X24+X32+X40+X48)</f>
        <v>106608</v>
      </c>
      <c r="Y56" s="593">
        <f t="shared" si="8"/>
        <v>-3.1</v>
      </c>
      <c r="Z56" s="604">
        <f t="shared" ref="Z56" si="233">SUM(Z8+Z16+Z24+Z32+Z40+Z48)</f>
        <v>12955</v>
      </c>
      <c r="AA56" s="604">
        <f t="shared" ref="AA56:AB61" si="234">SUM(AA8+AA16+AA24+AA32+AA40+AA48)</f>
        <v>222455</v>
      </c>
      <c r="AB56" s="604">
        <f t="shared" si="234"/>
        <v>12972</v>
      </c>
      <c r="AC56" s="593">
        <f t="shared" si="9"/>
        <v>0.1</v>
      </c>
      <c r="AD56" s="604">
        <f t="shared" ref="AD56" si="235">SUM(AD8+AD16+AD24+AD32+AD40+AD48)</f>
        <v>206237</v>
      </c>
      <c r="AE56" s="593">
        <f t="shared" si="10"/>
        <v>-7.3</v>
      </c>
      <c r="AF56" s="604">
        <f t="shared" ref="AF56:AH61" si="236">SUM(AF8+AF16+AF24+AF32+AF40+AF48)</f>
        <v>6252</v>
      </c>
      <c r="AG56" s="604">
        <f t="shared" si="236"/>
        <v>109395</v>
      </c>
      <c r="AH56" s="604">
        <f t="shared" si="236"/>
        <v>13298</v>
      </c>
      <c r="AI56" s="593">
        <f t="shared" si="30"/>
        <v>112.7</v>
      </c>
      <c r="AJ56" s="604">
        <f t="shared" ref="AJ56:AJ61" si="237">SUM(AJ8+AJ16+AJ24+AJ32+AJ40+AJ48)</f>
        <v>133678</v>
      </c>
      <c r="AK56" s="593">
        <f t="shared" si="11"/>
        <v>22.2</v>
      </c>
      <c r="AL56" s="604">
        <f t="shared" ref="AL56:AM61" si="238">SUM(AL8+AL16+AL24+AL32+AL40+AL48)</f>
        <v>19207</v>
      </c>
      <c r="AM56" s="604">
        <f t="shared" si="238"/>
        <v>331850</v>
      </c>
      <c r="AN56" s="604">
        <f t="shared" ref="AN56" si="239">SUM(AN8+AN16+AN24+AN32+AN40+AN48)</f>
        <v>26270</v>
      </c>
      <c r="AO56" s="593">
        <f t="shared" si="12"/>
        <v>36.799999999999997</v>
      </c>
      <c r="AP56" s="604">
        <f t="shared" ref="AP56" si="240">SUM(AP8+AP16+AP24+AP32+AP40+AP48)</f>
        <v>339915</v>
      </c>
      <c r="AQ56" s="593">
        <f t="shared" si="13"/>
        <v>2.4</v>
      </c>
      <c r="AR56" s="604">
        <f t="shared" ref="AR56:AT56" si="241">SUM(AR8+AR16+AR24+AR32+AR40+AR48)</f>
        <v>5030</v>
      </c>
      <c r="AS56" s="604">
        <f t="shared" si="241"/>
        <v>112810</v>
      </c>
      <c r="AT56" s="604">
        <f t="shared" si="241"/>
        <v>17141</v>
      </c>
      <c r="AU56" s="593">
        <f t="shared" si="33"/>
        <v>240.8</v>
      </c>
      <c r="AV56" s="604">
        <f t="shared" ref="AV56:AV61" si="242">SUM(AV8+AV16+AV24+AV32+AV40+AV48)</f>
        <v>122778</v>
      </c>
      <c r="AW56" s="593">
        <f t="shared" si="14"/>
        <v>8.8000000000000007</v>
      </c>
      <c r="AX56" s="604">
        <f t="shared" ref="AX56:AY61" si="243">SUM(AX8+AX16+AX24+AX32+AX40+AX48)</f>
        <v>24237</v>
      </c>
      <c r="AY56" s="604">
        <f t="shared" si="243"/>
        <v>444660</v>
      </c>
      <c r="AZ56" s="604">
        <f t="shared" ref="AZ56" si="244">SUM(AZ8+AZ16+AZ24+AZ32+AZ40+AZ48)</f>
        <v>43411</v>
      </c>
      <c r="BA56" s="593">
        <f t="shared" si="15"/>
        <v>79.099999999999994</v>
      </c>
      <c r="BB56" s="604">
        <f t="shared" ref="BB56" si="245">SUM(BB8+BB16+BB24+BB32+BB40+BB48)</f>
        <v>462693</v>
      </c>
      <c r="BC56" s="593">
        <f t="shared" si="16"/>
        <v>4.0999999999999996</v>
      </c>
      <c r="BD56" s="604">
        <f t="shared" ref="BD56:BF61" si="246">SUM(BD8+BD16+BD24+BD32+BD40+BD48)</f>
        <v>7141</v>
      </c>
      <c r="BE56" s="604">
        <f t="shared" si="246"/>
        <v>97626</v>
      </c>
      <c r="BF56" s="604">
        <f t="shared" si="246"/>
        <v>14388</v>
      </c>
      <c r="BG56" s="593">
        <f t="shared" si="36"/>
        <v>101.5</v>
      </c>
      <c r="BH56" s="604">
        <f t="shared" ref="BH56:BH61" si="247">SUM(BH8+BH16+BH24+BH32+BH40+BH48)</f>
        <v>117684</v>
      </c>
      <c r="BI56" s="593">
        <f t="shared" si="17"/>
        <v>20.5</v>
      </c>
      <c r="BJ56" s="604">
        <f t="shared" ref="BJ56:BK61" si="248">SUM(BJ8+BJ16+BJ24+BJ32+BJ40+BJ48)</f>
        <v>31378</v>
      </c>
      <c r="BK56" s="604">
        <f t="shared" si="248"/>
        <v>542286</v>
      </c>
      <c r="BL56" s="604">
        <f t="shared" ref="BL56" si="249">SUM(BL8+BL16+BL24+BL32+BL40+BL48)</f>
        <v>57799</v>
      </c>
      <c r="BM56" s="593">
        <f t="shared" si="18"/>
        <v>84.2</v>
      </c>
      <c r="BN56" s="604">
        <f t="shared" ref="BN56" si="250">SUM(BN8+BN16+BN24+BN32+BN40+BN48)</f>
        <v>580377</v>
      </c>
      <c r="BO56" s="593">
        <f t="shared" si="19"/>
        <v>7</v>
      </c>
    </row>
    <row r="57" spans="1:67" ht="21.75" customHeight="1">
      <c r="A57" s="805"/>
      <c r="B57" s="805"/>
      <c r="C57" s="117" t="s">
        <v>252</v>
      </c>
      <c r="D57" s="118">
        <f t="shared" si="226"/>
        <v>166572</v>
      </c>
      <c r="E57" s="118">
        <f t="shared" si="226"/>
        <v>2102192</v>
      </c>
      <c r="F57" s="118">
        <f t="shared" si="226"/>
        <v>166672</v>
      </c>
      <c r="G57" s="118">
        <f t="shared" si="226"/>
        <v>2856359</v>
      </c>
      <c r="H57" s="282">
        <f t="shared" si="226"/>
        <v>170485</v>
      </c>
      <c r="I57" s="282">
        <f t="shared" si="227"/>
        <v>3181123</v>
      </c>
      <c r="J57" s="603">
        <f t="shared" si="227"/>
        <v>206229</v>
      </c>
      <c r="K57" s="603">
        <f t="shared" si="227"/>
        <v>3014610</v>
      </c>
      <c r="L57" s="603">
        <f t="shared" si="227"/>
        <v>155776</v>
      </c>
      <c r="M57" s="603">
        <f t="shared" si="228"/>
        <v>2841187</v>
      </c>
      <c r="N57" s="603">
        <f t="shared" si="228"/>
        <v>9762</v>
      </c>
      <c r="O57" s="603">
        <f t="shared" si="228"/>
        <v>262598</v>
      </c>
      <c r="P57" s="603">
        <f t="shared" ref="P57" si="251">SUM(P9+P17+P25+P33+P41+P49)</f>
        <v>9629</v>
      </c>
      <c r="Q57" s="119">
        <f t="shared" si="6"/>
        <v>-1.4</v>
      </c>
      <c r="R57" s="603">
        <f t="shared" ref="R57" si="252">SUM(R9+R17+R25+R33+R41+R49)</f>
        <v>248031</v>
      </c>
      <c r="S57" s="119">
        <f t="shared" si="7"/>
        <v>-5.5</v>
      </c>
      <c r="T57" s="282">
        <f t="shared" si="231"/>
        <v>8888</v>
      </c>
      <c r="U57" s="282">
        <f t="shared" si="231"/>
        <v>259421</v>
      </c>
      <c r="V57" s="282">
        <f t="shared" si="231"/>
        <v>11726</v>
      </c>
      <c r="W57" s="119">
        <f t="shared" si="25"/>
        <v>31.9</v>
      </c>
      <c r="X57" s="282">
        <f t="shared" si="232"/>
        <v>284342</v>
      </c>
      <c r="Y57" s="119">
        <f t="shared" si="8"/>
        <v>9.6</v>
      </c>
      <c r="Z57" s="603">
        <f t="shared" ref="Z57" si="253">SUM(Z9+Z17+Z25+Z33+Z41+Z49)</f>
        <v>18650</v>
      </c>
      <c r="AA57" s="282">
        <f t="shared" si="234"/>
        <v>522019</v>
      </c>
      <c r="AB57" s="603">
        <f t="shared" si="234"/>
        <v>21355</v>
      </c>
      <c r="AC57" s="119">
        <f t="shared" si="9"/>
        <v>14.5</v>
      </c>
      <c r="AD57" s="603">
        <f t="shared" ref="AD57" si="254">SUM(AD9+AD17+AD25+AD33+AD41+AD49)</f>
        <v>532373</v>
      </c>
      <c r="AE57" s="119">
        <f t="shared" si="10"/>
        <v>2</v>
      </c>
      <c r="AF57" s="282">
        <f t="shared" si="236"/>
        <v>10680</v>
      </c>
      <c r="AG57" s="282">
        <f t="shared" si="236"/>
        <v>247943</v>
      </c>
      <c r="AH57" s="282">
        <f t="shared" si="236"/>
        <v>20245</v>
      </c>
      <c r="AI57" s="119">
        <f t="shared" si="30"/>
        <v>89.6</v>
      </c>
      <c r="AJ57" s="282">
        <f t="shared" si="237"/>
        <v>369585</v>
      </c>
      <c r="AK57" s="119">
        <f t="shared" si="11"/>
        <v>49.1</v>
      </c>
      <c r="AL57" s="603">
        <f t="shared" ref="AL57" si="255">SUM(AL9+AL17+AL25+AL33+AL41+AL49)</f>
        <v>29330</v>
      </c>
      <c r="AM57" s="603">
        <f t="shared" si="238"/>
        <v>769962</v>
      </c>
      <c r="AN57" s="603">
        <f t="shared" ref="AN57" si="256">SUM(AN9+AN17+AN25+AN33+AN41+AN49)</f>
        <v>41600</v>
      </c>
      <c r="AO57" s="119">
        <f t="shared" si="12"/>
        <v>41.8</v>
      </c>
      <c r="AP57" s="603">
        <f t="shared" ref="AP57" si="257">SUM(AP9+AP17+AP25+AP33+AP41+AP49)</f>
        <v>901958</v>
      </c>
      <c r="AQ57" s="119">
        <f t="shared" si="13"/>
        <v>17.100000000000001</v>
      </c>
      <c r="AR57" s="282">
        <f t="shared" ref="AR57:AT57" si="258">SUM(AR9+AR17+AR25+AR33+AR41+AR49)</f>
        <v>8652</v>
      </c>
      <c r="AS57" s="282">
        <f t="shared" si="258"/>
        <v>227411</v>
      </c>
      <c r="AT57" s="282">
        <f t="shared" si="258"/>
        <v>29706</v>
      </c>
      <c r="AU57" s="119">
        <f t="shared" si="33"/>
        <v>243.3</v>
      </c>
      <c r="AV57" s="282">
        <f t="shared" si="242"/>
        <v>377995</v>
      </c>
      <c r="AW57" s="119">
        <f t="shared" si="14"/>
        <v>66.2</v>
      </c>
      <c r="AX57" s="603">
        <f t="shared" ref="AX57" si="259">SUM(AX9+AX17+AX25+AX33+AX41+AX49)</f>
        <v>37982</v>
      </c>
      <c r="AY57" s="603">
        <f t="shared" si="243"/>
        <v>997373</v>
      </c>
      <c r="AZ57" s="603">
        <f t="shared" ref="AZ57" si="260">SUM(AZ9+AZ17+AZ25+AZ33+AZ41+AZ49)</f>
        <v>71306</v>
      </c>
      <c r="BA57" s="119">
        <f t="shared" si="15"/>
        <v>87.7</v>
      </c>
      <c r="BB57" s="603">
        <f t="shared" ref="BB57" si="261">SUM(BB9+BB17+BB25+BB33+BB41+BB49)</f>
        <v>1279953</v>
      </c>
      <c r="BC57" s="119">
        <f t="shared" si="16"/>
        <v>28.3</v>
      </c>
      <c r="BD57" s="282">
        <f t="shared" si="246"/>
        <v>10193</v>
      </c>
      <c r="BE57" s="282">
        <f t="shared" si="246"/>
        <v>184563</v>
      </c>
      <c r="BF57" s="282">
        <f t="shared" si="246"/>
        <v>23489</v>
      </c>
      <c r="BG57" s="119">
        <f t="shared" si="36"/>
        <v>130.4</v>
      </c>
      <c r="BH57" s="282">
        <f t="shared" si="247"/>
        <v>384239</v>
      </c>
      <c r="BI57" s="119">
        <f t="shared" si="17"/>
        <v>108.2</v>
      </c>
      <c r="BJ57" s="603">
        <f t="shared" si="248"/>
        <v>48175</v>
      </c>
      <c r="BK57" s="603">
        <f t="shared" si="248"/>
        <v>1181936</v>
      </c>
      <c r="BL57" s="603">
        <f t="shared" ref="BL57" si="262">SUM(BL9+BL17+BL25+BL33+BL41+BL49)</f>
        <v>94795</v>
      </c>
      <c r="BM57" s="119">
        <f t="shared" si="18"/>
        <v>96.8</v>
      </c>
      <c r="BN57" s="603">
        <f t="shared" ref="BN57" si="263">SUM(BN9+BN17+BN25+BN33+BN41+BN49)</f>
        <v>1664192</v>
      </c>
      <c r="BO57" s="119">
        <f t="shared" si="19"/>
        <v>40.799999999999997</v>
      </c>
    </row>
    <row r="58" spans="1:67" ht="21.75" customHeight="1">
      <c r="A58" s="805"/>
      <c r="B58" s="805" t="s">
        <v>253</v>
      </c>
      <c r="C58" s="114" t="s">
        <v>569</v>
      </c>
      <c r="D58" s="115">
        <f t="shared" si="226"/>
        <v>1329726</v>
      </c>
      <c r="E58" s="115">
        <f t="shared" si="226"/>
        <v>2293676.094</v>
      </c>
      <c r="F58" s="115">
        <f t="shared" si="226"/>
        <v>1251476</v>
      </c>
      <c r="G58" s="115">
        <f t="shared" si="226"/>
        <v>2181175</v>
      </c>
      <c r="H58" s="281">
        <f t="shared" si="226"/>
        <v>1405735</v>
      </c>
      <c r="I58" s="281">
        <f t="shared" si="227"/>
        <v>1980018</v>
      </c>
      <c r="J58" s="599">
        <f t="shared" si="227"/>
        <v>1396126</v>
      </c>
      <c r="K58" s="599">
        <f t="shared" si="227"/>
        <v>1975779</v>
      </c>
      <c r="L58" s="599">
        <f t="shared" si="227"/>
        <v>1583408</v>
      </c>
      <c r="M58" s="599">
        <f t="shared" si="228"/>
        <v>1848538</v>
      </c>
      <c r="N58" s="599">
        <f t="shared" si="228"/>
        <v>125920</v>
      </c>
      <c r="O58" s="599">
        <f t="shared" si="228"/>
        <v>159874</v>
      </c>
      <c r="P58" s="599">
        <f t="shared" ref="P58" si="264">SUM(P10+P18+P26+P34+P42+P50)</f>
        <v>110462</v>
      </c>
      <c r="Q58" s="116">
        <f t="shared" si="6"/>
        <v>-12.3</v>
      </c>
      <c r="R58" s="599">
        <f t="shared" ref="R58" si="265">SUM(R10+R18+R26+R34+R42+R50)</f>
        <v>181398</v>
      </c>
      <c r="S58" s="116">
        <f t="shared" si="7"/>
        <v>13.5</v>
      </c>
      <c r="T58" s="281">
        <f t="shared" si="231"/>
        <v>118236</v>
      </c>
      <c r="U58" s="281">
        <f t="shared" si="231"/>
        <v>142398</v>
      </c>
      <c r="V58" s="281">
        <f t="shared" si="231"/>
        <v>123649</v>
      </c>
      <c r="W58" s="116">
        <f t="shared" si="25"/>
        <v>4.5999999999999996</v>
      </c>
      <c r="X58" s="281">
        <f t="shared" si="232"/>
        <v>150540</v>
      </c>
      <c r="Y58" s="116">
        <f t="shared" si="8"/>
        <v>5.7</v>
      </c>
      <c r="Z58" s="599">
        <f t="shared" ref="Z58" si="266">SUM(Z10+Z18+Z26+Z34+Z42+Z50)</f>
        <v>244156</v>
      </c>
      <c r="AA58" s="281">
        <f t="shared" si="234"/>
        <v>302272</v>
      </c>
      <c r="AB58" s="599">
        <f t="shared" si="234"/>
        <v>234111</v>
      </c>
      <c r="AC58" s="116">
        <f t="shared" si="9"/>
        <v>-4.0999999999999996</v>
      </c>
      <c r="AD58" s="599">
        <f t="shared" ref="AD58" si="267">SUM(AD10+AD18+AD26+AD34+AD42+AD50)</f>
        <v>331938</v>
      </c>
      <c r="AE58" s="116">
        <f t="shared" si="10"/>
        <v>9.8000000000000007</v>
      </c>
      <c r="AF58" s="281">
        <f t="shared" si="236"/>
        <v>134340</v>
      </c>
      <c r="AG58" s="281">
        <f t="shared" si="236"/>
        <v>160352</v>
      </c>
      <c r="AH58" s="281">
        <f t="shared" si="236"/>
        <v>135906</v>
      </c>
      <c r="AI58" s="116">
        <f t="shared" si="30"/>
        <v>1.2</v>
      </c>
      <c r="AJ58" s="281">
        <f t="shared" si="237"/>
        <v>202362</v>
      </c>
      <c r="AK58" s="116">
        <f t="shared" si="11"/>
        <v>26.2</v>
      </c>
      <c r="AL58" s="599">
        <f t="shared" ref="AL58" si="268">SUM(AL10+AL18+AL26+AL34+AL42+AL50)</f>
        <v>378496</v>
      </c>
      <c r="AM58" s="599">
        <f t="shared" si="238"/>
        <v>462624</v>
      </c>
      <c r="AN58" s="599">
        <f t="shared" ref="AN58" si="269">SUM(AN10+AN18+AN26+AN34+AN42+AN50)</f>
        <v>370017</v>
      </c>
      <c r="AO58" s="116">
        <f t="shared" si="12"/>
        <v>-2.2000000000000002</v>
      </c>
      <c r="AP58" s="599">
        <f t="shared" ref="AP58" si="270">SUM(AP10+AP18+AP26+AP34+AP42+AP50)</f>
        <v>534300</v>
      </c>
      <c r="AQ58" s="116">
        <f t="shared" si="13"/>
        <v>15.5</v>
      </c>
      <c r="AR58" s="281">
        <f t="shared" ref="AR58:AT58" si="271">SUM(AR10+AR18+AR26+AR34+AR42+AR50)</f>
        <v>121648</v>
      </c>
      <c r="AS58" s="281">
        <f t="shared" si="271"/>
        <v>158170</v>
      </c>
      <c r="AT58" s="281">
        <f t="shared" si="271"/>
        <v>142574</v>
      </c>
      <c r="AU58" s="116">
        <f t="shared" si="33"/>
        <v>17.2</v>
      </c>
      <c r="AV58" s="281">
        <f t="shared" si="242"/>
        <v>193023</v>
      </c>
      <c r="AW58" s="116">
        <f t="shared" si="14"/>
        <v>22</v>
      </c>
      <c r="AX58" s="599">
        <f t="shared" ref="AX58" si="272">SUM(AX10+AX18+AX26+AX34+AX42+AX50)</f>
        <v>500144</v>
      </c>
      <c r="AY58" s="599">
        <f t="shared" si="243"/>
        <v>620794</v>
      </c>
      <c r="AZ58" s="599">
        <f t="shared" ref="AZ58" si="273">SUM(AZ10+AZ18+AZ26+AZ34+AZ42+AZ50)</f>
        <v>512591</v>
      </c>
      <c r="BA58" s="116">
        <f t="shared" si="15"/>
        <v>2.5</v>
      </c>
      <c r="BB58" s="599">
        <f t="shared" ref="BB58" si="274">SUM(BB10+BB18+BB26+BB34+BB42+BB50)</f>
        <v>727323</v>
      </c>
      <c r="BC58" s="116">
        <f t="shared" si="16"/>
        <v>17.2</v>
      </c>
      <c r="BD58" s="281">
        <f t="shared" si="246"/>
        <v>115520</v>
      </c>
      <c r="BE58" s="281">
        <f t="shared" si="246"/>
        <v>146595</v>
      </c>
      <c r="BF58" s="281">
        <f t="shared" si="246"/>
        <v>140797</v>
      </c>
      <c r="BG58" s="116">
        <f t="shared" si="36"/>
        <v>21.9</v>
      </c>
      <c r="BH58" s="281">
        <f t="shared" si="247"/>
        <v>161806</v>
      </c>
      <c r="BI58" s="116">
        <f t="shared" si="17"/>
        <v>10.4</v>
      </c>
      <c r="BJ58" s="599">
        <f t="shared" si="248"/>
        <v>615664</v>
      </c>
      <c r="BK58" s="599">
        <f t="shared" si="248"/>
        <v>767389</v>
      </c>
      <c r="BL58" s="599">
        <f t="shared" ref="BL58" si="275">SUM(BL10+BL18+BL26+BL34+BL42+BL50)</f>
        <v>653388</v>
      </c>
      <c r="BM58" s="116">
        <f t="shared" si="18"/>
        <v>6.1</v>
      </c>
      <c r="BN58" s="599">
        <f t="shared" ref="BN58" si="276">SUM(BN10+BN18+BN26+BN34+BN42+BN50)</f>
        <v>889129</v>
      </c>
      <c r="BO58" s="116">
        <f t="shared" si="19"/>
        <v>15.9</v>
      </c>
    </row>
    <row r="59" spans="1:67" ht="21.75" customHeight="1">
      <c r="A59" s="805"/>
      <c r="B59" s="805"/>
      <c r="C59" s="117" t="s">
        <v>252</v>
      </c>
      <c r="D59" s="118">
        <f t="shared" si="226"/>
        <v>3675636</v>
      </c>
      <c r="E59" s="118">
        <f t="shared" si="226"/>
        <v>5688949</v>
      </c>
      <c r="F59" s="118">
        <f t="shared" si="226"/>
        <v>4317997</v>
      </c>
      <c r="G59" s="118">
        <f t="shared" si="226"/>
        <v>6389975</v>
      </c>
      <c r="H59" s="282">
        <f t="shared" si="226"/>
        <v>4854030</v>
      </c>
      <c r="I59" s="282">
        <f t="shared" si="227"/>
        <v>6394784</v>
      </c>
      <c r="J59" s="603">
        <f t="shared" si="227"/>
        <v>4377124</v>
      </c>
      <c r="K59" s="603">
        <f t="shared" si="227"/>
        <v>5554690</v>
      </c>
      <c r="L59" s="603">
        <f t="shared" si="227"/>
        <v>4498234</v>
      </c>
      <c r="M59" s="603">
        <f t="shared" si="228"/>
        <v>4973913</v>
      </c>
      <c r="N59" s="603">
        <f t="shared" si="228"/>
        <v>347753</v>
      </c>
      <c r="O59" s="603">
        <f t="shared" si="228"/>
        <v>437949</v>
      </c>
      <c r="P59" s="603">
        <f t="shared" ref="P59" si="277">SUM(P11+P19+P27+P35+P43+P51)</f>
        <v>396340</v>
      </c>
      <c r="Q59" s="119">
        <f t="shared" si="6"/>
        <v>14</v>
      </c>
      <c r="R59" s="603">
        <f t="shared" ref="R59" si="278">SUM(R11+R19+R27+R35+R43+R51)</f>
        <v>591226</v>
      </c>
      <c r="S59" s="119">
        <f t="shared" si="7"/>
        <v>35</v>
      </c>
      <c r="T59" s="282">
        <f t="shared" si="231"/>
        <v>330140</v>
      </c>
      <c r="U59" s="282">
        <f t="shared" si="231"/>
        <v>372502</v>
      </c>
      <c r="V59" s="282">
        <f t="shared" si="231"/>
        <v>451831</v>
      </c>
      <c r="W59" s="119">
        <f t="shared" si="25"/>
        <v>36.9</v>
      </c>
      <c r="X59" s="282">
        <f t="shared" si="232"/>
        <v>528424</v>
      </c>
      <c r="Y59" s="119">
        <f t="shared" si="8"/>
        <v>41.9</v>
      </c>
      <c r="Z59" s="603">
        <f t="shared" ref="Z59" si="279">SUM(Z11+Z19+Z27+Z35+Z43+Z51)</f>
        <v>677893</v>
      </c>
      <c r="AA59" s="282">
        <f t="shared" si="234"/>
        <v>810451</v>
      </c>
      <c r="AB59" s="603">
        <f t="shared" si="234"/>
        <v>848171</v>
      </c>
      <c r="AC59" s="119">
        <f t="shared" si="9"/>
        <v>25.1</v>
      </c>
      <c r="AD59" s="603">
        <f t="shared" ref="AD59" si="280">SUM(AD11+AD19+AD27+AD35+AD43+AD51)</f>
        <v>1119650</v>
      </c>
      <c r="AE59" s="119">
        <f t="shared" si="10"/>
        <v>38.200000000000003</v>
      </c>
      <c r="AF59" s="282">
        <f t="shared" si="236"/>
        <v>320605</v>
      </c>
      <c r="AG59" s="282">
        <f t="shared" si="236"/>
        <v>439237</v>
      </c>
      <c r="AH59" s="282">
        <f t="shared" si="236"/>
        <v>488954</v>
      </c>
      <c r="AI59" s="119">
        <f t="shared" si="30"/>
        <v>52.5</v>
      </c>
      <c r="AJ59" s="282">
        <f t="shared" si="237"/>
        <v>728666</v>
      </c>
      <c r="AK59" s="119">
        <f t="shared" si="11"/>
        <v>65.900000000000006</v>
      </c>
      <c r="AL59" s="603">
        <f t="shared" ref="AL59" si="281">SUM(AL11+AL19+AL27+AL35+AL43+AL51)</f>
        <v>998498</v>
      </c>
      <c r="AM59" s="603">
        <f t="shared" si="238"/>
        <v>1249688</v>
      </c>
      <c r="AN59" s="603">
        <f t="shared" ref="AN59" si="282">SUM(AN11+AN19+AN27+AN35+AN43+AN51)</f>
        <v>1337125</v>
      </c>
      <c r="AO59" s="119">
        <f t="shared" si="12"/>
        <v>33.9</v>
      </c>
      <c r="AP59" s="603">
        <f t="shared" ref="AP59" si="283">SUM(AP11+AP19+AP27+AP35+AP43+AP51)</f>
        <v>1848316</v>
      </c>
      <c r="AQ59" s="119">
        <f t="shared" si="13"/>
        <v>47.9</v>
      </c>
      <c r="AR59" s="282">
        <f t="shared" ref="AR59:AT59" si="284">SUM(AR11+AR19+AR27+AR35+AR43+AR51)</f>
        <v>305460</v>
      </c>
      <c r="AS59" s="282">
        <f t="shared" si="284"/>
        <v>393688</v>
      </c>
      <c r="AT59" s="282">
        <f t="shared" si="284"/>
        <v>542573</v>
      </c>
      <c r="AU59" s="119">
        <f t="shared" si="33"/>
        <v>77.599999999999994</v>
      </c>
      <c r="AV59" s="282">
        <f t="shared" si="242"/>
        <v>723880</v>
      </c>
      <c r="AW59" s="119">
        <f t="shared" si="14"/>
        <v>83.9</v>
      </c>
      <c r="AX59" s="603">
        <f t="shared" ref="AX59" si="285">SUM(AX11+AX19+AX27+AX35+AX43+AX51)</f>
        <v>1303958</v>
      </c>
      <c r="AY59" s="603">
        <f t="shared" si="243"/>
        <v>1643376</v>
      </c>
      <c r="AZ59" s="603">
        <f t="shared" ref="AZ59" si="286">SUM(AZ11+AZ19+AZ27+AZ35+AZ43+AZ51)</f>
        <v>1879698</v>
      </c>
      <c r="BA59" s="119">
        <f t="shared" si="15"/>
        <v>44.2</v>
      </c>
      <c r="BB59" s="603">
        <f t="shared" ref="BB59" si="287">SUM(BB11+BB19+BB27+BB35+BB43+BB51)</f>
        <v>2572196</v>
      </c>
      <c r="BC59" s="119">
        <f t="shared" si="16"/>
        <v>56.5</v>
      </c>
      <c r="BD59" s="282">
        <f t="shared" si="246"/>
        <v>286359</v>
      </c>
      <c r="BE59" s="282">
        <f t="shared" si="246"/>
        <v>355026</v>
      </c>
      <c r="BF59" s="282">
        <f t="shared" si="246"/>
        <v>602157</v>
      </c>
      <c r="BG59" s="119">
        <f t="shared" si="36"/>
        <v>110.3</v>
      </c>
      <c r="BH59" s="282">
        <f t="shared" si="247"/>
        <v>657408</v>
      </c>
      <c r="BI59" s="119">
        <f t="shared" si="17"/>
        <v>85.2</v>
      </c>
      <c r="BJ59" s="603">
        <f t="shared" si="248"/>
        <v>1590317</v>
      </c>
      <c r="BK59" s="603">
        <f t="shared" si="248"/>
        <v>1998402</v>
      </c>
      <c r="BL59" s="603">
        <f t="shared" ref="BL59" si="288">SUM(BL11+BL19+BL27+BL35+BL43+BL51)</f>
        <v>2481855</v>
      </c>
      <c r="BM59" s="119">
        <f t="shared" si="18"/>
        <v>56.1</v>
      </c>
      <c r="BN59" s="603">
        <f t="shared" ref="BN59" si="289">SUM(BN11+BN19+BN27+BN35+BN43+BN51)</f>
        <v>3229604</v>
      </c>
      <c r="BO59" s="119">
        <f t="shared" si="19"/>
        <v>61.6</v>
      </c>
    </row>
    <row r="60" spans="1:67" ht="21.75" customHeight="1">
      <c r="A60" s="805"/>
      <c r="B60" s="809" t="s">
        <v>254</v>
      </c>
      <c r="C60" s="114" t="s">
        <v>569</v>
      </c>
      <c r="D60" s="115">
        <f t="shared" si="226"/>
        <v>1042672</v>
      </c>
      <c r="E60" s="115">
        <f t="shared" si="226"/>
        <v>711685.90599999996</v>
      </c>
      <c r="F60" s="115">
        <f t="shared" si="226"/>
        <v>1119674</v>
      </c>
      <c r="G60" s="115">
        <f t="shared" si="226"/>
        <v>751432</v>
      </c>
      <c r="H60" s="281">
        <f t="shared" si="226"/>
        <v>1192835</v>
      </c>
      <c r="I60" s="281">
        <f t="shared" si="227"/>
        <v>892979</v>
      </c>
      <c r="J60" s="599">
        <f t="shared" si="227"/>
        <v>1208990</v>
      </c>
      <c r="K60" s="599">
        <f t="shared" si="227"/>
        <v>844476</v>
      </c>
      <c r="L60" s="599">
        <f t="shared" si="227"/>
        <v>1214959</v>
      </c>
      <c r="M60" s="599">
        <f t="shared" si="228"/>
        <v>783821</v>
      </c>
      <c r="N60" s="599">
        <f t="shared" si="228"/>
        <v>97178</v>
      </c>
      <c r="O60" s="599">
        <f t="shared" si="228"/>
        <v>66863</v>
      </c>
      <c r="P60" s="599">
        <f t="shared" ref="P60" si="290">SUM(P12+P20+P28+P36+P44+P52)</f>
        <v>104677</v>
      </c>
      <c r="Q60" s="116">
        <f t="shared" si="6"/>
        <v>7.7</v>
      </c>
      <c r="R60" s="599">
        <f t="shared" ref="R60" si="291">SUM(R12+R20+R28+R36+R44+R52)</f>
        <v>70240</v>
      </c>
      <c r="S60" s="116">
        <f t="shared" si="7"/>
        <v>5.0999999999999996</v>
      </c>
      <c r="T60" s="281">
        <f t="shared" si="231"/>
        <v>98973</v>
      </c>
      <c r="U60" s="281">
        <f t="shared" si="231"/>
        <v>50561</v>
      </c>
      <c r="V60" s="281">
        <f t="shared" si="231"/>
        <v>96479</v>
      </c>
      <c r="W60" s="116">
        <f t="shared" si="25"/>
        <v>-2.5</v>
      </c>
      <c r="X60" s="281">
        <f t="shared" si="232"/>
        <v>64093</v>
      </c>
      <c r="Y60" s="116">
        <f t="shared" si="8"/>
        <v>26.8</v>
      </c>
      <c r="Z60" s="599">
        <f t="shared" ref="Z60" si="292">SUM(Z12+Z20+Z28+Z36+Z44+Z52)</f>
        <v>196151</v>
      </c>
      <c r="AA60" s="281">
        <f t="shared" si="234"/>
        <v>117424</v>
      </c>
      <c r="AB60" s="599">
        <f t="shared" si="234"/>
        <v>201156</v>
      </c>
      <c r="AC60" s="116">
        <f t="shared" si="9"/>
        <v>2.6</v>
      </c>
      <c r="AD60" s="599">
        <f t="shared" ref="AD60" si="293">SUM(AD12+AD20+AD28+AD36+AD44+AD52)</f>
        <v>134333</v>
      </c>
      <c r="AE60" s="116">
        <f t="shared" si="10"/>
        <v>14.4</v>
      </c>
      <c r="AF60" s="281">
        <f t="shared" si="236"/>
        <v>113924</v>
      </c>
      <c r="AG60" s="281">
        <f t="shared" si="236"/>
        <v>77891</v>
      </c>
      <c r="AH60" s="281">
        <f t="shared" si="236"/>
        <v>116496</v>
      </c>
      <c r="AI60" s="116">
        <f t="shared" si="30"/>
        <v>2.2999999999999998</v>
      </c>
      <c r="AJ60" s="281">
        <f t="shared" si="237"/>
        <v>80309</v>
      </c>
      <c r="AK60" s="116">
        <f t="shared" si="11"/>
        <v>3.1</v>
      </c>
      <c r="AL60" s="599">
        <f t="shared" ref="AL60" si="294">SUM(AL12+AL20+AL28+AL36+AL44+AL52)</f>
        <v>310075</v>
      </c>
      <c r="AM60" s="599">
        <f t="shared" si="238"/>
        <v>195315</v>
      </c>
      <c r="AN60" s="599">
        <f t="shared" ref="AN60" si="295">SUM(AN12+AN20+AN28+AN36+AN44+AN52)</f>
        <v>317652</v>
      </c>
      <c r="AO60" s="116">
        <f t="shared" si="12"/>
        <v>2.4</v>
      </c>
      <c r="AP60" s="599">
        <f t="shared" ref="AP60" si="296">SUM(AP12+AP20+AP28+AP36+AP44+AP52)</f>
        <v>214642</v>
      </c>
      <c r="AQ60" s="116">
        <f t="shared" si="13"/>
        <v>9.9</v>
      </c>
      <c r="AR60" s="281">
        <f t="shared" ref="AR60:AT60" si="297">SUM(AR12+AR20+AR28+AR36+AR44+AR52)</f>
        <v>100215</v>
      </c>
      <c r="AS60" s="281">
        <f t="shared" si="297"/>
        <v>72198</v>
      </c>
      <c r="AT60" s="281">
        <f t="shared" si="297"/>
        <v>116287</v>
      </c>
      <c r="AU60" s="116">
        <f t="shared" si="33"/>
        <v>16</v>
      </c>
      <c r="AV60" s="281">
        <f t="shared" si="242"/>
        <v>81365</v>
      </c>
      <c r="AW60" s="116">
        <f t="shared" si="14"/>
        <v>12.7</v>
      </c>
      <c r="AX60" s="599">
        <f t="shared" ref="AX60" si="298">SUM(AX12+AX20+AX28+AX36+AX44+AX52)</f>
        <v>410290</v>
      </c>
      <c r="AY60" s="599">
        <f t="shared" si="243"/>
        <v>267513</v>
      </c>
      <c r="AZ60" s="599">
        <f t="shared" ref="AZ60" si="299">SUM(AZ12+AZ20+AZ28+AZ36+AZ44+AZ52)</f>
        <v>433939</v>
      </c>
      <c r="BA60" s="116">
        <f t="shared" si="15"/>
        <v>5.8</v>
      </c>
      <c r="BB60" s="599">
        <f t="shared" ref="BB60" si="300">SUM(BB12+BB20+BB28+BB36+BB44+BB52)</f>
        <v>296007</v>
      </c>
      <c r="BC60" s="116">
        <f t="shared" si="16"/>
        <v>10.7</v>
      </c>
      <c r="BD60" s="281">
        <f t="shared" si="246"/>
        <v>86784</v>
      </c>
      <c r="BE60" s="281">
        <f t="shared" si="246"/>
        <v>64824</v>
      </c>
      <c r="BF60" s="281">
        <f t="shared" si="246"/>
        <v>112182</v>
      </c>
      <c r="BG60" s="116">
        <f t="shared" si="36"/>
        <v>29.3</v>
      </c>
      <c r="BH60" s="281">
        <f t="shared" si="247"/>
        <v>72380</v>
      </c>
      <c r="BI60" s="116">
        <f t="shared" si="17"/>
        <v>11.7</v>
      </c>
      <c r="BJ60" s="599">
        <f t="shared" si="248"/>
        <v>497074</v>
      </c>
      <c r="BK60" s="599">
        <f t="shared" si="248"/>
        <v>332337</v>
      </c>
      <c r="BL60" s="599">
        <f t="shared" ref="BL60" si="301">SUM(BL12+BL20+BL28+BL36+BL44+BL52)</f>
        <v>546121</v>
      </c>
      <c r="BM60" s="116">
        <f t="shared" si="18"/>
        <v>9.9</v>
      </c>
      <c r="BN60" s="599">
        <f t="shared" ref="BN60" si="302">SUM(BN12+BN20+BN28+BN36+BN44+BN52)</f>
        <v>368387</v>
      </c>
      <c r="BO60" s="116">
        <f t="shared" si="19"/>
        <v>10.8</v>
      </c>
    </row>
    <row r="61" spans="1:67" ht="21.75" customHeight="1">
      <c r="A61" s="805"/>
      <c r="B61" s="805"/>
      <c r="C61" s="117" t="s">
        <v>252</v>
      </c>
      <c r="D61" s="118">
        <f t="shared" si="226"/>
        <v>4728902</v>
      </c>
      <c r="E61" s="118">
        <f t="shared" si="226"/>
        <v>4197005</v>
      </c>
      <c r="F61" s="118">
        <f t="shared" si="226"/>
        <v>5665222</v>
      </c>
      <c r="G61" s="118">
        <f t="shared" si="226"/>
        <v>4578398</v>
      </c>
      <c r="H61" s="282">
        <f t="shared" si="226"/>
        <v>6481891</v>
      </c>
      <c r="I61" s="282">
        <f t="shared" si="227"/>
        <v>5124190</v>
      </c>
      <c r="J61" s="603">
        <f t="shared" si="227"/>
        <v>6120101</v>
      </c>
      <c r="K61" s="603">
        <f t="shared" si="227"/>
        <v>4887111</v>
      </c>
      <c r="L61" s="603">
        <f t="shared" si="227"/>
        <v>6132493</v>
      </c>
      <c r="M61" s="603">
        <f t="shared" si="228"/>
        <v>4714673</v>
      </c>
      <c r="N61" s="603">
        <f t="shared" si="228"/>
        <v>487536</v>
      </c>
      <c r="O61" s="603">
        <f t="shared" si="228"/>
        <v>386006</v>
      </c>
      <c r="P61" s="603">
        <f t="shared" ref="P61" si="303">SUM(P13+P21+P29+P37+P45+P53)</f>
        <v>600806</v>
      </c>
      <c r="Q61" s="119">
        <f t="shared" si="6"/>
        <v>23.2</v>
      </c>
      <c r="R61" s="603">
        <f t="shared" ref="R61" si="304">SUM(R13+R21+R29+R37+R45+R53)</f>
        <v>483543</v>
      </c>
      <c r="S61" s="119">
        <f t="shared" si="7"/>
        <v>25.3</v>
      </c>
      <c r="T61" s="282">
        <f t="shared" si="231"/>
        <v>484833</v>
      </c>
      <c r="U61" s="282">
        <f t="shared" si="231"/>
        <v>337893</v>
      </c>
      <c r="V61" s="282">
        <f t="shared" si="231"/>
        <v>560036</v>
      </c>
      <c r="W61" s="119">
        <f t="shared" si="25"/>
        <v>15.5</v>
      </c>
      <c r="X61" s="282">
        <f t="shared" si="232"/>
        <v>449845</v>
      </c>
      <c r="Y61" s="119">
        <f t="shared" si="8"/>
        <v>33.1</v>
      </c>
      <c r="Z61" s="603">
        <f t="shared" ref="Z61" si="305">SUM(Z13+Z21+Z29+Z37+Z45+Z53)</f>
        <v>972369</v>
      </c>
      <c r="AA61" s="282">
        <f t="shared" si="234"/>
        <v>723899</v>
      </c>
      <c r="AB61" s="603">
        <f t="shared" si="234"/>
        <v>1160842</v>
      </c>
      <c r="AC61" s="119">
        <f t="shared" si="9"/>
        <v>19.399999999999999</v>
      </c>
      <c r="AD61" s="603">
        <f t="shared" ref="AD61" si="306">SUM(AD13+AD21+AD29+AD37+AD45+AD53)</f>
        <v>933388</v>
      </c>
      <c r="AE61" s="119">
        <f t="shared" si="10"/>
        <v>28.9</v>
      </c>
      <c r="AF61" s="282">
        <f t="shared" si="236"/>
        <v>565992</v>
      </c>
      <c r="AG61" s="282">
        <f t="shared" si="236"/>
        <v>448442</v>
      </c>
      <c r="AH61" s="282">
        <f t="shared" si="236"/>
        <v>695982</v>
      </c>
      <c r="AI61" s="119">
        <f t="shared" si="30"/>
        <v>23</v>
      </c>
      <c r="AJ61" s="282">
        <f t="shared" si="237"/>
        <v>533426</v>
      </c>
      <c r="AK61" s="119">
        <f t="shared" si="11"/>
        <v>19</v>
      </c>
      <c r="AL61" s="603">
        <f t="shared" ref="AL61" si="307">SUM(AL13+AL21+AL29+AL37+AL45+AL53)</f>
        <v>1538361</v>
      </c>
      <c r="AM61" s="603">
        <f t="shared" si="238"/>
        <v>1172341</v>
      </c>
      <c r="AN61" s="603">
        <f t="shared" ref="AN61" si="308">SUM(AN13+AN21+AN29+AN37+AN45+AN53)</f>
        <v>1856824</v>
      </c>
      <c r="AO61" s="119">
        <f t="shared" si="12"/>
        <v>20.7</v>
      </c>
      <c r="AP61" s="603">
        <f t="shared" ref="AP61" si="309">SUM(AP13+AP21+AP29+AP37+AP45+AP53)</f>
        <v>1466814</v>
      </c>
      <c r="AQ61" s="119">
        <f t="shared" si="13"/>
        <v>25.1</v>
      </c>
      <c r="AR61" s="282">
        <f t="shared" ref="AR61:AT61" si="310">SUM(AR13+AR21+AR29+AR37+AR45+AR53)</f>
        <v>468475</v>
      </c>
      <c r="AS61" s="282">
        <f t="shared" si="310"/>
        <v>396505</v>
      </c>
      <c r="AT61" s="282">
        <f t="shared" si="310"/>
        <v>692537</v>
      </c>
      <c r="AU61" s="119">
        <f t="shared" si="33"/>
        <v>47.8</v>
      </c>
      <c r="AV61" s="282">
        <f t="shared" si="242"/>
        <v>590961</v>
      </c>
      <c r="AW61" s="119">
        <f t="shared" si="14"/>
        <v>49</v>
      </c>
      <c r="AX61" s="603">
        <f t="shared" ref="AX61" si="311">SUM(AX13+AX21+AX29+AX37+AX45+AX53)</f>
        <v>2006836</v>
      </c>
      <c r="AY61" s="603">
        <f t="shared" si="243"/>
        <v>1568846</v>
      </c>
      <c r="AZ61" s="603">
        <f t="shared" ref="AZ61" si="312">SUM(AZ13+AZ21+AZ29+AZ37+AZ45+AZ53)</f>
        <v>2549361</v>
      </c>
      <c r="BA61" s="119">
        <f t="shared" si="15"/>
        <v>27</v>
      </c>
      <c r="BB61" s="603">
        <f t="shared" ref="BB61" si="313">SUM(BB13+BB21+BB29+BB37+BB45+BB53)</f>
        <v>2057775</v>
      </c>
      <c r="BC61" s="119">
        <f t="shared" si="16"/>
        <v>31.2</v>
      </c>
      <c r="BD61" s="282">
        <f t="shared" si="246"/>
        <v>403170</v>
      </c>
      <c r="BE61" s="282">
        <f t="shared" si="246"/>
        <v>362654</v>
      </c>
      <c r="BF61" s="282">
        <f t="shared" si="246"/>
        <v>717907</v>
      </c>
      <c r="BG61" s="119">
        <f t="shared" si="36"/>
        <v>78.099999999999994</v>
      </c>
      <c r="BH61" s="282">
        <f t="shared" si="247"/>
        <v>505746</v>
      </c>
      <c r="BI61" s="119">
        <f t="shared" si="17"/>
        <v>39.5</v>
      </c>
      <c r="BJ61" s="603">
        <f t="shared" si="248"/>
        <v>2410006</v>
      </c>
      <c r="BK61" s="603">
        <f t="shared" si="248"/>
        <v>1931500</v>
      </c>
      <c r="BL61" s="603">
        <f t="shared" ref="BL61" si="314">SUM(BL13+BL21+BL29+BL37+BL45+BL53)</f>
        <v>3267268</v>
      </c>
      <c r="BM61" s="119">
        <f t="shared" si="18"/>
        <v>35.6</v>
      </c>
      <c r="BN61" s="603">
        <f t="shared" ref="BN61" si="315">SUM(BN13+BN21+BN29+BN37+BN45+BN53)</f>
        <v>2563521</v>
      </c>
      <c r="BO61" s="119">
        <f t="shared" si="19"/>
        <v>32.700000000000003</v>
      </c>
    </row>
    <row r="62" spans="1:67" ht="21.75" customHeight="1">
      <c r="A62" s="805"/>
      <c r="B62" s="810" t="s">
        <v>255</v>
      </c>
      <c r="C62" s="120" t="s">
        <v>569</v>
      </c>
      <c r="D62" s="121">
        <f t="shared" ref="D62:F63" si="316">SUM(D56+D58+D60)</f>
        <v>2485492</v>
      </c>
      <c r="E62" s="121">
        <f>SUM(E56+E58+E60)</f>
        <v>4000717</v>
      </c>
      <c r="F62" s="121">
        <f t="shared" si="316"/>
        <v>2493216</v>
      </c>
      <c r="G62" s="121">
        <f t="shared" ref="G62:J63" si="317">SUM(G56+G58+G60)</f>
        <v>4067802</v>
      </c>
      <c r="H62" s="283">
        <f t="shared" si="317"/>
        <v>2697911</v>
      </c>
      <c r="I62" s="283">
        <f t="shared" si="317"/>
        <v>3994646</v>
      </c>
      <c r="J62" s="601">
        <f t="shared" si="317"/>
        <v>2722817</v>
      </c>
      <c r="K62" s="601">
        <f>SUM(K56+K58+K60)</f>
        <v>4075854</v>
      </c>
      <c r="L62" s="601">
        <f t="shared" ref="L62" si="318">SUM(L56+L58+L60)</f>
        <v>2902330</v>
      </c>
      <c r="M62" s="601">
        <f>SUM(M56+M58+M60)</f>
        <v>3940114</v>
      </c>
      <c r="N62" s="601">
        <f t="shared" ref="N62" si="319">SUM(N56+N58+N60)</f>
        <v>230910</v>
      </c>
      <c r="O62" s="601">
        <f>SUM(O56+O58+O60)</f>
        <v>339147</v>
      </c>
      <c r="P62" s="601">
        <f>SUM(P56+P58+P60)</f>
        <v>221152</v>
      </c>
      <c r="Q62" s="122">
        <f t="shared" si="6"/>
        <v>-4.2</v>
      </c>
      <c r="R62" s="601">
        <f>SUM(R56+R58+R60)</f>
        <v>351267</v>
      </c>
      <c r="S62" s="122">
        <f t="shared" si="7"/>
        <v>3.6</v>
      </c>
      <c r="T62" s="283">
        <f t="shared" ref="T62:V63" si="320">SUM(T56+T58+T60)</f>
        <v>222352</v>
      </c>
      <c r="U62" s="283">
        <f t="shared" si="320"/>
        <v>303004</v>
      </c>
      <c r="V62" s="283">
        <f t="shared" si="320"/>
        <v>227087</v>
      </c>
      <c r="W62" s="122">
        <f t="shared" si="25"/>
        <v>2.1</v>
      </c>
      <c r="X62" s="283">
        <f>SUM(X56+X58+X60)</f>
        <v>321241</v>
      </c>
      <c r="Y62" s="122">
        <f t="shared" si="8"/>
        <v>6</v>
      </c>
      <c r="Z62" s="601">
        <f t="shared" ref="Z62" si="321">SUM(Z56+Z58+Z60)</f>
        <v>453262</v>
      </c>
      <c r="AA62" s="283">
        <f t="shared" ref="AA62:AB63" si="322">SUM(AA56+AA58+AA60)</f>
        <v>642151</v>
      </c>
      <c r="AB62" s="601">
        <f t="shared" si="322"/>
        <v>448239</v>
      </c>
      <c r="AC62" s="122">
        <f t="shared" si="9"/>
        <v>-1.1000000000000001</v>
      </c>
      <c r="AD62" s="601">
        <f t="shared" ref="AD62" si="323">SUM(AD56+AD58+AD60)</f>
        <v>672508</v>
      </c>
      <c r="AE62" s="122">
        <f t="shared" si="10"/>
        <v>4.7</v>
      </c>
      <c r="AF62" s="283">
        <f t="shared" ref="AF62:AH63" si="324">SUM(AF56+AF58+AF60)</f>
        <v>254516</v>
      </c>
      <c r="AG62" s="283">
        <f t="shared" si="324"/>
        <v>347638</v>
      </c>
      <c r="AH62" s="283">
        <f t="shared" si="324"/>
        <v>265700</v>
      </c>
      <c r="AI62" s="122">
        <f t="shared" si="30"/>
        <v>4.4000000000000004</v>
      </c>
      <c r="AJ62" s="283">
        <f>SUM(AJ56+AJ58+AJ60)</f>
        <v>416349</v>
      </c>
      <c r="AK62" s="122">
        <f t="shared" si="11"/>
        <v>19.8</v>
      </c>
      <c r="AL62" s="601">
        <f t="shared" ref="AL62" si="325">SUM(AL56+AL58+AL60)</f>
        <v>707778</v>
      </c>
      <c r="AM62" s="601">
        <f>SUM(AM56+AM58+AM60)</f>
        <v>989789</v>
      </c>
      <c r="AN62" s="601">
        <f>SUM(AN56+AN58+AN60)</f>
        <v>713939</v>
      </c>
      <c r="AO62" s="122">
        <f t="shared" si="12"/>
        <v>0.9</v>
      </c>
      <c r="AP62" s="601">
        <f>SUM(AP56+AP58+AP60)</f>
        <v>1088857</v>
      </c>
      <c r="AQ62" s="122">
        <f t="shared" si="13"/>
        <v>10</v>
      </c>
      <c r="AR62" s="283">
        <f t="shared" ref="AR62:AT62" si="326">SUM(AR56+AR58+AR60)</f>
        <v>226893</v>
      </c>
      <c r="AS62" s="283">
        <f t="shared" si="326"/>
        <v>343178</v>
      </c>
      <c r="AT62" s="283">
        <f t="shared" si="326"/>
        <v>276002</v>
      </c>
      <c r="AU62" s="122">
        <f t="shared" si="33"/>
        <v>21.6</v>
      </c>
      <c r="AV62" s="283">
        <f>SUM(AV56+AV58+AV60)</f>
        <v>397166</v>
      </c>
      <c r="AW62" s="122">
        <f t="shared" si="14"/>
        <v>15.7</v>
      </c>
      <c r="AX62" s="601">
        <f t="shared" ref="AX62" si="327">SUM(AX56+AX58+AX60)</f>
        <v>934671</v>
      </c>
      <c r="AY62" s="601">
        <f>SUM(AY56+AY58+AY60)</f>
        <v>1332967</v>
      </c>
      <c r="AZ62" s="601">
        <f>SUM(AZ56+AZ58+AZ60)</f>
        <v>989941</v>
      </c>
      <c r="BA62" s="122">
        <f t="shared" si="15"/>
        <v>5.9</v>
      </c>
      <c r="BB62" s="601">
        <f>SUM(BB56+BB58+BB60)</f>
        <v>1486023</v>
      </c>
      <c r="BC62" s="122">
        <f t="shared" si="16"/>
        <v>11.5</v>
      </c>
      <c r="BD62" s="283">
        <f t="shared" ref="BD62:BF63" si="328">SUM(BD56+BD58+BD60)</f>
        <v>209445</v>
      </c>
      <c r="BE62" s="283">
        <f t="shared" si="328"/>
        <v>309045</v>
      </c>
      <c r="BF62" s="283">
        <f t="shared" si="328"/>
        <v>267367</v>
      </c>
      <c r="BG62" s="122">
        <f t="shared" si="36"/>
        <v>27.7</v>
      </c>
      <c r="BH62" s="283">
        <f>SUM(BH56+BH58+BH60)</f>
        <v>351870</v>
      </c>
      <c r="BI62" s="122">
        <f t="shared" si="17"/>
        <v>13.9</v>
      </c>
      <c r="BJ62" s="601">
        <f t="shared" ref="BJ62:BJ63" si="329">SUM(BJ56+BJ58+BJ60)</f>
        <v>1144116</v>
      </c>
      <c r="BK62" s="601">
        <f>SUM(BK56+BK58+BK60)</f>
        <v>1642012</v>
      </c>
      <c r="BL62" s="601">
        <f>SUM(BL56+BL58+BL60)</f>
        <v>1257308</v>
      </c>
      <c r="BM62" s="122">
        <f t="shared" si="18"/>
        <v>9.9</v>
      </c>
      <c r="BN62" s="601">
        <f>SUM(BN56+BN58+BN60)</f>
        <v>1837893</v>
      </c>
      <c r="BO62" s="122">
        <f t="shared" si="19"/>
        <v>11.9</v>
      </c>
    </row>
    <row r="63" spans="1:67" ht="23.25" customHeight="1" thickBot="1">
      <c r="A63" s="811"/>
      <c r="B63" s="812"/>
      <c r="C63" s="123" t="s">
        <v>252</v>
      </c>
      <c r="D63" s="124">
        <f t="shared" si="316"/>
        <v>8571110</v>
      </c>
      <c r="E63" s="124">
        <f>SUM(E57+E59+E61)</f>
        <v>11988146</v>
      </c>
      <c r="F63" s="124">
        <f t="shared" si="316"/>
        <v>10149891</v>
      </c>
      <c r="G63" s="124">
        <f t="shared" si="317"/>
        <v>13824732</v>
      </c>
      <c r="H63" s="284">
        <f t="shared" si="317"/>
        <v>11506406</v>
      </c>
      <c r="I63" s="284">
        <f t="shared" si="317"/>
        <v>14700097</v>
      </c>
      <c r="J63" s="602">
        <f t="shared" si="317"/>
        <v>10703454</v>
      </c>
      <c r="K63" s="602">
        <f>SUM(K57+K59+K61)</f>
        <v>13456411</v>
      </c>
      <c r="L63" s="602">
        <f t="shared" ref="L63" si="330">SUM(L57+L59+L61)</f>
        <v>10786503</v>
      </c>
      <c r="M63" s="602">
        <f>SUM(M57+M59+M61)</f>
        <v>12529773</v>
      </c>
      <c r="N63" s="602">
        <f t="shared" ref="N63" si="331">SUM(N57+N59+N61)</f>
        <v>845051</v>
      </c>
      <c r="O63" s="602">
        <f>SUM(O57+O59+O61)</f>
        <v>1086553</v>
      </c>
      <c r="P63" s="602">
        <f>SUM(P57+P59+P61)</f>
        <v>1006775</v>
      </c>
      <c r="Q63" s="125">
        <f t="shared" si="6"/>
        <v>19.100000000000001</v>
      </c>
      <c r="R63" s="602">
        <f>SUM(R57+R59+R61)</f>
        <v>1322800</v>
      </c>
      <c r="S63" s="125">
        <f t="shared" si="7"/>
        <v>21.7</v>
      </c>
      <c r="T63" s="284">
        <f t="shared" si="320"/>
        <v>823861</v>
      </c>
      <c r="U63" s="284">
        <f t="shared" si="320"/>
        <v>969816</v>
      </c>
      <c r="V63" s="284">
        <f t="shared" si="320"/>
        <v>1023593</v>
      </c>
      <c r="W63" s="125">
        <f t="shared" si="25"/>
        <v>24.2</v>
      </c>
      <c r="X63" s="284">
        <f>SUM(X57+X59+X61)</f>
        <v>1262611</v>
      </c>
      <c r="Y63" s="125">
        <f t="shared" si="8"/>
        <v>30.2</v>
      </c>
      <c r="Z63" s="602">
        <f t="shared" ref="Z63" si="332">SUM(Z57+Z59+Z61)</f>
        <v>1668912</v>
      </c>
      <c r="AA63" s="284">
        <f t="shared" si="322"/>
        <v>2056369</v>
      </c>
      <c r="AB63" s="602">
        <f t="shared" si="322"/>
        <v>2030368</v>
      </c>
      <c r="AC63" s="125">
        <f t="shared" si="9"/>
        <v>21.7</v>
      </c>
      <c r="AD63" s="602">
        <f t="shared" ref="AD63" si="333">SUM(AD57+AD59+AD61)</f>
        <v>2585411</v>
      </c>
      <c r="AE63" s="125">
        <f t="shared" si="10"/>
        <v>25.7</v>
      </c>
      <c r="AF63" s="284">
        <f t="shared" si="324"/>
        <v>897277</v>
      </c>
      <c r="AG63" s="284">
        <f t="shared" si="324"/>
        <v>1135622</v>
      </c>
      <c r="AH63" s="284">
        <f t="shared" si="324"/>
        <v>1205181</v>
      </c>
      <c r="AI63" s="125">
        <f t="shared" si="30"/>
        <v>34.299999999999997</v>
      </c>
      <c r="AJ63" s="284">
        <f>SUM(AJ57+AJ59+AJ61)</f>
        <v>1631677</v>
      </c>
      <c r="AK63" s="125">
        <f t="shared" si="11"/>
        <v>43.7</v>
      </c>
      <c r="AL63" s="602">
        <f t="shared" ref="AL63" si="334">SUM(AL57+AL59+AL61)</f>
        <v>2566189</v>
      </c>
      <c r="AM63" s="602">
        <f>SUM(AM57+AM59+AM61)</f>
        <v>3191991</v>
      </c>
      <c r="AN63" s="602">
        <f>SUM(AN57+AN59+AN61)</f>
        <v>3235549</v>
      </c>
      <c r="AO63" s="125">
        <f t="shared" si="12"/>
        <v>26.1</v>
      </c>
      <c r="AP63" s="602">
        <f>SUM(AP57+AP59+AP61)</f>
        <v>4217088</v>
      </c>
      <c r="AQ63" s="125">
        <f t="shared" si="13"/>
        <v>32.1</v>
      </c>
      <c r="AR63" s="284">
        <f t="shared" ref="AR63:AT63" si="335">SUM(AR57+AR59+AR61)</f>
        <v>782587</v>
      </c>
      <c r="AS63" s="284">
        <f t="shared" si="335"/>
        <v>1017604</v>
      </c>
      <c r="AT63" s="284">
        <f t="shared" si="335"/>
        <v>1264816</v>
      </c>
      <c r="AU63" s="125">
        <f t="shared" si="33"/>
        <v>61.6</v>
      </c>
      <c r="AV63" s="284">
        <f>SUM(AV57+AV59+AV61)</f>
        <v>1692836</v>
      </c>
      <c r="AW63" s="125">
        <f t="shared" si="14"/>
        <v>66.400000000000006</v>
      </c>
      <c r="AX63" s="602">
        <f t="shared" ref="AX63" si="336">SUM(AX57+AX59+AX61)</f>
        <v>3348776</v>
      </c>
      <c r="AY63" s="602">
        <f>SUM(AY57+AY59+AY61)</f>
        <v>4209595</v>
      </c>
      <c r="AZ63" s="602">
        <f>SUM(AZ57+AZ59+AZ61)</f>
        <v>4500365</v>
      </c>
      <c r="BA63" s="125">
        <f t="shared" si="15"/>
        <v>34.4</v>
      </c>
      <c r="BB63" s="602">
        <f>SUM(BB57+BB59+BB61)</f>
        <v>5909924</v>
      </c>
      <c r="BC63" s="125">
        <f t="shared" si="16"/>
        <v>40.4</v>
      </c>
      <c r="BD63" s="284">
        <f t="shared" si="328"/>
        <v>699722</v>
      </c>
      <c r="BE63" s="284">
        <f t="shared" si="328"/>
        <v>902243</v>
      </c>
      <c r="BF63" s="284">
        <f t="shared" si="328"/>
        <v>1343553</v>
      </c>
      <c r="BG63" s="125">
        <f t="shared" si="36"/>
        <v>92</v>
      </c>
      <c r="BH63" s="284">
        <f>SUM(BH57+BH59+BH61)</f>
        <v>1547393</v>
      </c>
      <c r="BI63" s="125">
        <f t="shared" si="17"/>
        <v>71.5</v>
      </c>
      <c r="BJ63" s="602">
        <f t="shared" si="329"/>
        <v>4048498</v>
      </c>
      <c r="BK63" s="602">
        <f>SUM(BK57+BK59+BK61)</f>
        <v>5111838</v>
      </c>
      <c r="BL63" s="602">
        <f>SUM(BL57+BL59+BL61)</f>
        <v>5843918</v>
      </c>
      <c r="BM63" s="125">
        <f t="shared" si="18"/>
        <v>44.3</v>
      </c>
      <c r="BN63" s="602">
        <f>SUM(BN57+BN59+BN61)</f>
        <v>7457317</v>
      </c>
      <c r="BO63" s="125">
        <f t="shared" si="19"/>
        <v>45.9</v>
      </c>
    </row>
    <row r="64" spans="1:67" ht="23.25" customHeight="1" thickTop="1">
      <c r="A64" s="804" t="s">
        <v>262</v>
      </c>
      <c r="B64" s="806" t="s">
        <v>18</v>
      </c>
      <c r="C64" s="126" t="s">
        <v>569</v>
      </c>
      <c r="D64" s="127">
        <v>96278</v>
      </c>
      <c r="E64" s="127">
        <v>140737</v>
      </c>
      <c r="F64" s="127">
        <v>40395</v>
      </c>
      <c r="G64" s="127">
        <v>157963</v>
      </c>
      <c r="H64" s="285">
        <v>47078</v>
      </c>
      <c r="I64" s="285">
        <v>156574</v>
      </c>
      <c r="J64" s="604">
        <v>82485</v>
      </c>
      <c r="K64" s="604">
        <v>153450</v>
      </c>
      <c r="L64" s="604">
        <v>22915</v>
      </c>
      <c r="M64" s="657">
        <v>144040</v>
      </c>
      <c r="N64" s="604">
        <v>1484</v>
      </c>
      <c r="O64" s="604">
        <v>14260</v>
      </c>
      <c r="P64" s="285">
        <v>960</v>
      </c>
      <c r="Q64" s="128">
        <f t="shared" si="6"/>
        <v>-35.299999999999997</v>
      </c>
      <c r="R64" s="285">
        <v>13512</v>
      </c>
      <c r="S64" s="128">
        <f t="shared" si="7"/>
        <v>-5.2</v>
      </c>
      <c r="T64" s="285">
        <f t="shared" ref="T64:V65" si="337">Z64-N64</f>
        <v>1660</v>
      </c>
      <c r="U64" s="285">
        <f t="shared" si="337"/>
        <v>7723</v>
      </c>
      <c r="V64" s="285">
        <f t="shared" si="337"/>
        <v>1377</v>
      </c>
      <c r="W64" s="128">
        <f t="shared" si="25"/>
        <v>-17</v>
      </c>
      <c r="X64" s="285">
        <f>AD64-R64</f>
        <v>12639</v>
      </c>
      <c r="Y64" s="128">
        <f t="shared" si="8"/>
        <v>63.7</v>
      </c>
      <c r="Z64" s="604">
        <v>3144</v>
      </c>
      <c r="AA64" s="285">
        <v>21983</v>
      </c>
      <c r="AB64" s="604">
        <v>2337</v>
      </c>
      <c r="AC64" s="128">
        <f t="shared" si="9"/>
        <v>-25.7</v>
      </c>
      <c r="AD64" s="285">
        <v>26151</v>
      </c>
      <c r="AE64" s="128">
        <f t="shared" si="10"/>
        <v>19</v>
      </c>
      <c r="AF64" s="285">
        <f t="shared" ref="AF64:AH65" si="338">AL64-Z64</f>
        <v>2326</v>
      </c>
      <c r="AG64" s="285">
        <f t="shared" si="338"/>
        <v>14459</v>
      </c>
      <c r="AH64" s="285">
        <f t="shared" si="338"/>
        <v>1513</v>
      </c>
      <c r="AI64" s="128">
        <f t="shared" si="30"/>
        <v>-35</v>
      </c>
      <c r="AJ64" s="285">
        <f>AP64-AD64</f>
        <v>15472</v>
      </c>
      <c r="AK64" s="128">
        <f t="shared" si="11"/>
        <v>7</v>
      </c>
      <c r="AL64" s="604">
        <v>5470</v>
      </c>
      <c r="AM64" s="604">
        <v>36442</v>
      </c>
      <c r="AN64" s="285">
        <v>3850</v>
      </c>
      <c r="AO64" s="128">
        <f t="shared" si="12"/>
        <v>-29.6</v>
      </c>
      <c r="AP64" s="285">
        <v>41623</v>
      </c>
      <c r="AQ64" s="128">
        <f t="shared" si="13"/>
        <v>14.2</v>
      </c>
      <c r="AR64" s="285">
        <f t="shared" ref="AR64:AR65" si="339">AX64-AL64</f>
        <v>3254</v>
      </c>
      <c r="AS64" s="285">
        <f t="shared" ref="AS64:AS65" si="340">AY64-AM64</f>
        <v>13235</v>
      </c>
      <c r="AT64" s="285">
        <f t="shared" ref="AT64:AT65" si="341">AZ64-AN64</f>
        <v>1613</v>
      </c>
      <c r="AU64" s="128">
        <f t="shared" si="33"/>
        <v>-50.4</v>
      </c>
      <c r="AV64" s="285">
        <f>BB64-AP64</f>
        <v>12137</v>
      </c>
      <c r="AW64" s="128">
        <f t="shared" si="14"/>
        <v>-8.3000000000000007</v>
      </c>
      <c r="AX64" s="604">
        <v>8724</v>
      </c>
      <c r="AY64" s="604">
        <v>49677</v>
      </c>
      <c r="AZ64" s="285">
        <v>5463</v>
      </c>
      <c r="BA64" s="128">
        <f t="shared" si="15"/>
        <v>-37.4</v>
      </c>
      <c r="BB64" s="285">
        <v>53760</v>
      </c>
      <c r="BC64" s="128">
        <f t="shared" si="16"/>
        <v>8.1999999999999993</v>
      </c>
      <c r="BD64" s="285">
        <f t="shared" ref="BD64:BF65" si="342">BJ64-AX64</f>
        <v>1464</v>
      </c>
      <c r="BE64" s="285">
        <f t="shared" si="342"/>
        <v>13672</v>
      </c>
      <c r="BF64" s="285">
        <f t="shared" si="342"/>
        <v>1377</v>
      </c>
      <c r="BG64" s="128">
        <f t="shared" si="36"/>
        <v>-5.9</v>
      </c>
      <c r="BH64" s="285">
        <f>BN64-BB64</f>
        <v>13664</v>
      </c>
      <c r="BI64" s="128">
        <f t="shared" si="17"/>
        <v>-0.1</v>
      </c>
      <c r="BJ64" s="604">
        <v>10188</v>
      </c>
      <c r="BK64" s="604">
        <v>63349</v>
      </c>
      <c r="BL64" s="285">
        <v>6840</v>
      </c>
      <c r="BM64" s="128">
        <f t="shared" si="18"/>
        <v>-32.9</v>
      </c>
      <c r="BN64" s="285">
        <v>67424</v>
      </c>
      <c r="BO64" s="128">
        <f t="shared" si="19"/>
        <v>6.4</v>
      </c>
    </row>
    <row r="65" spans="1:67" ht="21.75" customHeight="1">
      <c r="A65" s="805"/>
      <c r="B65" s="805"/>
      <c r="C65" s="117" t="s">
        <v>252</v>
      </c>
      <c r="D65" s="118">
        <v>275446</v>
      </c>
      <c r="E65" s="118">
        <v>942708</v>
      </c>
      <c r="F65" s="118">
        <v>317314</v>
      </c>
      <c r="G65" s="118">
        <v>1090604</v>
      </c>
      <c r="H65" s="282">
        <v>366602</v>
      </c>
      <c r="I65" s="282">
        <v>1259894</v>
      </c>
      <c r="J65" s="603">
        <v>272204</v>
      </c>
      <c r="K65" s="603">
        <v>1083201</v>
      </c>
      <c r="L65" s="603">
        <v>232849</v>
      </c>
      <c r="M65" s="658">
        <v>937692</v>
      </c>
      <c r="N65" s="603">
        <v>19506</v>
      </c>
      <c r="O65" s="603">
        <v>85090</v>
      </c>
      <c r="P65" s="282">
        <v>19370</v>
      </c>
      <c r="Q65" s="119">
        <f t="shared" si="6"/>
        <v>-0.7</v>
      </c>
      <c r="R65" s="282">
        <v>77568</v>
      </c>
      <c r="S65" s="119">
        <f t="shared" si="7"/>
        <v>-8.8000000000000007</v>
      </c>
      <c r="T65" s="282">
        <f t="shared" si="337"/>
        <v>19772</v>
      </c>
      <c r="U65" s="282">
        <f t="shared" si="337"/>
        <v>64025</v>
      </c>
      <c r="V65" s="282">
        <f t="shared" si="337"/>
        <v>16207</v>
      </c>
      <c r="W65" s="119">
        <f t="shared" si="25"/>
        <v>-18</v>
      </c>
      <c r="X65" s="282">
        <f>AD65-R65</f>
        <v>84592</v>
      </c>
      <c r="Y65" s="119">
        <f t="shared" si="8"/>
        <v>32.1</v>
      </c>
      <c r="Z65" s="603">
        <v>39278</v>
      </c>
      <c r="AA65" s="282">
        <v>149115</v>
      </c>
      <c r="AB65" s="603">
        <v>35577</v>
      </c>
      <c r="AC65" s="119">
        <f t="shared" si="9"/>
        <v>-9.4</v>
      </c>
      <c r="AD65" s="282">
        <v>162160</v>
      </c>
      <c r="AE65" s="119">
        <f t="shared" si="10"/>
        <v>8.6999999999999993</v>
      </c>
      <c r="AF65" s="282">
        <f t="shared" si="338"/>
        <v>21654</v>
      </c>
      <c r="AG65" s="282">
        <f t="shared" si="338"/>
        <v>95127</v>
      </c>
      <c r="AH65" s="282">
        <f t="shared" si="338"/>
        <v>24607</v>
      </c>
      <c r="AI65" s="119">
        <f t="shared" si="30"/>
        <v>13.6</v>
      </c>
      <c r="AJ65" s="282">
        <f>AP65-AD65</f>
        <v>116587</v>
      </c>
      <c r="AK65" s="119">
        <f t="shared" si="11"/>
        <v>22.6</v>
      </c>
      <c r="AL65" s="603">
        <v>60932</v>
      </c>
      <c r="AM65" s="603">
        <v>244242</v>
      </c>
      <c r="AN65" s="282">
        <v>60184</v>
      </c>
      <c r="AO65" s="119">
        <f t="shared" si="12"/>
        <v>-1.2</v>
      </c>
      <c r="AP65" s="282">
        <v>278747</v>
      </c>
      <c r="AQ65" s="119">
        <f t="shared" si="13"/>
        <v>14.1</v>
      </c>
      <c r="AR65" s="282">
        <f t="shared" si="339"/>
        <v>22589</v>
      </c>
      <c r="AS65" s="282">
        <f t="shared" si="340"/>
        <v>94409</v>
      </c>
      <c r="AT65" s="282">
        <f t="shared" si="341"/>
        <v>22158</v>
      </c>
      <c r="AU65" s="119">
        <f t="shared" si="33"/>
        <v>-1.9</v>
      </c>
      <c r="AV65" s="282">
        <f>BB65-AP65</f>
        <v>107668</v>
      </c>
      <c r="AW65" s="119">
        <f t="shared" si="14"/>
        <v>14</v>
      </c>
      <c r="AX65" s="603">
        <v>83521</v>
      </c>
      <c r="AY65" s="603">
        <v>338651</v>
      </c>
      <c r="AZ65" s="282">
        <v>82342</v>
      </c>
      <c r="BA65" s="119">
        <f t="shared" si="15"/>
        <v>-1.4</v>
      </c>
      <c r="BB65" s="282">
        <v>386415</v>
      </c>
      <c r="BC65" s="119">
        <f t="shared" si="16"/>
        <v>14.1</v>
      </c>
      <c r="BD65" s="282">
        <f t="shared" si="342"/>
        <v>15871</v>
      </c>
      <c r="BE65" s="282">
        <f t="shared" si="342"/>
        <v>76448</v>
      </c>
      <c r="BF65" s="282">
        <f t="shared" si="342"/>
        <v>24307</v>
      </c>
      <c r="BG65" s="119">
        <f t="shared" si="36"/>
        <v>53.2</v>
      </c>
      <c r="BH65" s="282">
        <f>BN65-BB65</f>
        <v>105136</v>
      </c>
      <c r="BI65" s="119">
        <f t="shared" si="17"/>
        <v>37.5</v>
      </c>
      <c r="BJ65" s="603">
        <v>99392</v>
      </c>
      <c r="BK65" s="603">
        <v>415099</v>
      </c>
      <c r="BL65" s="282">
        <v>106649</v>
      </c>
      <c r="BM65" s="119">
        <f t="shared" si="18"/>
        <v>7.3</v>
      </c>
      <c r="BN65" s="282">
        <v>491551</v>
      </c>
      <c r="BO65" s="119">
        <f t="shared" si="19"/>
        <v>18.399999999999999</v>
      </c>
    </row>
    <row r="66" spans="1:67">
      <c r="A66" t="s">
        <v>263</v>
      </c>
      <c r="N66" s="292"/>
      <c r="O66" s="292"/>
      <c r="T66" s="292"/>
      <c r="U66" s="292"/>
      <c r="Z66" s="292"/>
      <c r="AA66" s="292"/>
      <c r="AF66" s="292"/>
      <c r="AG66" s="292"/>
      <c r="AL66" s="292"/>
      <c r="AM66" s="292"/>
      <c r="AR66" s="292"/>
      <c r="AS66" s="292"/>
      <c r="AX66" s="292"/>
      <c r="AY66" s="292"/>
      <c r="BD66" s="292"/>
      <c r="BE66" s="292"/>
      <c r="BJ66" s="596"/>
      <c r="BK66" s="596"/>
    </row>
    <row r="67" spans="1:67">
      <c r="N67" s="292"/>
      <c r="O67" s="292"/>
      <c r="T67" s="292"/>
      <c r="U67" s="292"/>
      <c r="Z67" s="292"/>
      <c r="AA67" s="292"/>
      <c r="AF67" s="292"/>
      <c r="AG67" s="292"/>
      <c r="AL67" s="292"/>
      <c r="AM67" s="292"/>
      <c r="AR67" s="292"/>
      <c r="AS67" s="292"/>
      <c r="AX67" s="292"/>
      <c r="AY67" s="292"/>
      <c r="BD67" s="292"/>
      <c r="BE67" s="292"/>
      <c r="BJ67" s="596"/>
      <c r="BK67" s="596"/>
    </row>
    <row r="68" spans="1:67">
      <c r="Z68" s="596"/>
      <c r="AA68" s="596"/>
      <c r="AB68" s="596"/>
      <c r="AD68" s="596"/>
      <c r="AF68" s="596"/>
      <c r="AG68" s="596"/>
      <c r="AH68" s="596"/>
      <c r="AJ68" s="596"/>
      <c r="AL68" s="596"/>
      <c r="AM68" s="596"/>
      <c r="AN68" s="596"/>
      <c r="AP68" s="596"/>
      <c r="AR68" s="596"/>
      <c r="AS68" s="596"/>
      <c r="AT68" s="596"/>
      <c r="AV68" s="596"/>
      <c r="AX68" s="596"/>
      <c r="AY68" s="596"/>
      <c r="AZ68" s="596"/>
      <c r="BB68" s="596"/>
      <c r="BD68" s="596"/>
      <c r="BE68" s="596"/>
      <c r="BF68" s="596"/>
      <c r="BH68" s="596"/>
      <c r="BJ68" s="596"/>
      <c r="BK68" s="596"/>
      <c r="BL68" s="596"/>
      <c r="BN68" s="596"/>
    </row>
    <row r="69" spans="1:67">
      <c r="BB69" s="596"/>
    </row>
  </sheetData>
  <mergeCells count="127">
    <mergeCell ref="AV3:AW3"/>
    <mergeCell ref="BB3:BC3"/>
    <mergeCell ref="AR4:AW4"/>
    <mergeCell ref="AX4:BC4"/>
    <mergeCell ref="AR5:AS5"/>
    <mergeCell ref="AT5:AW5"/>
    <mergeCell ref="AX5:AY5"/>
    <mergeCell ref="AZ5:BC5"/>
    <mergeCell ref="AR6:AR7"/>
    <mergeCell ref="AS6:AS7"/>
    <mergeCell ref="AT6:AT7"/>
    <mergeCell ref="AV6:AV7"/>
    <mergeCell ref="AX6:AX7"/>
    <mergeCell ref="AY6:AY7"/>
    <mergeCell ref="AZ6:AZ7"/>
    <mergeCell ref="BB6:BB7"/>
    <mergeCell ref="X3:Y3"/>
    <mergeCell ref="T4:Y4"/>
    <mergeCell ref="T5:U5"/>
    <mergeCell ref="V5:Y5"/>
    <mergeCell ref="T6:T7"/>
    <mergeCell ref="U6:U7"/>
    <mergeCell ref="V6:V7"/>
    <mergeCell ref="X6:X7"/>
    <mergeCell ref="AD3:AE3"/>
    <mergeCell ref="Z4:AE4"/>
    <mergeCell ref="Z5:AA5"/>
    <mergeCell ref="AB5:AE5"/>
    <mergeCell ref="Z6:Z7"/>
    <mergeCell ref="AA6:AA7"/>
    <mergeCell ref="AB6:AB7"/>
    <mergeCell ref="AD6:AD7"/>
    <mergeCell ref="C4:C5"/>
    <mergeCell ref="D4:E5"/>
    <mergeCell ref="F4:G5"/>
    <mergeCell ref="R3:S3"/>
    <mergeCell ref="H4:I5"/>
    <mergeCell ref="J6:J7"/>
    <mergeCell ref="K6:K7"/>
    <mergeCell ref="J4:K5"/>
    <mergeCell ref="N4:S4"/>
    <mergeCell ref="N5:O5"/>
    <mergeCell ref="P5:S5"/>
    <mergeCell ref="N6:N7"/>
    <mergeCell ref="O6:O7"/>
    <mergeCell ref="P6:P7"/>
    <mergeCell ref="R6:R7"/>
    <mergeCell ref="I6:I7"/>
    <mergeCell ref="L6:L7"/>
    <mergeCell ref="M6:M7"/>
    <mergeCell ref="L4:M5"/>
    <mergeCell ref="A8:A15"/>
    <mergeCell ref="B8:B9"/>
    <mergeCell ref="B10:B11"/>
    <mergeCell ref="B12:B13"/>
    <mergeCell ref="B14:B15"/>
    <mergeCell ref="E6:E7"/>
    <mergeCell ref="F6:F7"/>
    <mergeCell ref="G6:G7"/>
    <mergeCell ref="H6:H7"/>
    <mergeCell ref="A6:B7"/>
    <mergeCell ref="C6:C7"/>
    <mergeCell ref="D6:D7"/>
    <mergeCell ref="A24:A31"/>
    <mergeCell ref="B24:B25"/>
    <mergeCell ref="B26:B27"/>
    <mergeCell ref="B28:B29"/>
    <mergeCell ref="B30:B31"/>
    <mergeCell ref="A16:A23"/>
    <mergeCell ref="B16:B17"/>
    <mergeCell ref="B18:B19"/>
    <mergeCell ref="B20:B21"/>
    <mergeCell ref="B22:B23"/>
    <mergeCell ref="A40:A47"/>
    <mergeCell ref="B40:B41"/>
    <mergeCell ref="B42:B43"/>
    <mergeCell ref="B44:B45"/>
    <mergeCell ref="B46:B47"/>
    <mergeCell ref="A32:A39"/>
    <mergeCell ref="B32:B33"/>
    <mergeCell ref="B34:B35"/>
    <mergeCell ref="B36:B37"/>
    <mergeCell ref="B38:B39"/>
    <mergeCell ref="A64:A65"/>
    <mergeCell ref="B64:B65"/>
    <mergeCell ref="A48:A55"/>
    <mergeCell ref="B48:B49"/>
    <mergeCell ref="B50:B51"/>
    <mergeCell ref="B52:B53"/>
    <mergeCell ref="B54:B55"/>
    <mergeCell ref="A56:A63"/>
    <mergeCell ref="B56:B57"/>
    <mergeCell ref="B58:B59"/>
    <mergeCell ref="B60:B61"/>
    <mergeCell ref="B62:B63"/>
    <mergeCell ref="AM6:AM7"/>
    <mergeCell ref="AN6:AN7"/>
    <mergeCell ref="AP6:AP7"/>
    <mergeCell ref="AF6:AF7"/>
    <mergeCell ref="AG6:AG7"/>
    <mergeCell ref="AH6:AH7"/>
    <mergeCell ref="AJ6:AJ7"/>
    <mergeCell ref="AL6:AL7"/>
    <mergeCell ref="AJ3:AK3"/>
    <mergeCell ref="AP3:AQ3"/>
    <mergeCell ref="AF4:AK4"/>
    <mergeCell ref="AL4:AQ4"/>
    <mergeCell ref="AF5:AG5"/>
    <mergeCell ref="AH5:AK5"/>
    <mergeCell ref="AL5:AM5"/>
    <mergeCell ref="AN5:AQ5"/>
    <mergeCell ref="BH3:BI3"/>
    <mergeCell ref="BN3:BO3"/>
    <mergeCell ref="BD4:BI4"/>
    <mergeCell ref="BJ4:BO4"/>
    <mergeCell ref="BD5:BE5"/>
    <mergeCell ref="BF5:BI5"/>
    <mergeCell ref="BJ5:BK5"/>
    <mergeCell ref="BL5:BO5"/>
    <mergeCell ref="BD6:BD7"/>
    <mergeCell ref="BE6:BE7"/>
    <mergeCell ref="BF6:BF7"/>
    <mergeCell ref="BH6:BH7"/>
    <mergeCell ref="BJ6:BJ7"/>
    <mergeCell ref="BK6:BK7"/>
    <mergeCell ref="BL6:BL7"/>
    <mergeCell ref="BN6:BN7"/>
  </mergeCells>
  <phoneticPr fontId="2" type="noConversion"/>
  <printOptions horizontalCentered="1"/>
  <pageMargins left="0.19685039370078741" right="0.19685039370078741" top="0.74803149606299213" bottom="0.35433070866141736" header="0.31496062992125984" footer="0.19685039370078741"/>
  <pageSetup paperSize="9" scale="70" orientation="landscape" r:id="rId1"/>
  <rowBreaks count="2" manualBreakCount="2">
    <brk id="31" max="16383" man="1"/>
    <brk id="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1"/>
  <sheetViews>
    <sheetView topLeftCell="A121" workbookViewId="0">
      <selection activeCell="B131" sqref="B131"/>
    </sheetView>
  </sheetViews>
  <sheetFormatPr defaultRowHeight="16.5"/>
  <cols>
    <col min="1" max="1" width="22.625" style="43" customWidth="1"/>
    <col min="2" max="4" width="12.625" style="44" customWidth="1"/>
    <col min="5" max="5" width="8.625" style="45" customWidth="1"/>
    <col min="6" max="6" width="12.625" style="44" customWidth="1"/>
    <col min="7" max="7" width="8.625" style="45" customWidth="1"/>
    <col min="8" max="16384" width="9" style="277"/>
  </cols>
  <sheetData>
    <row r="1" spans="1:7" ht="22.5" hidden="1">
      <c r="A1" s="831" t="s">
        <v>502</v>
      </c>
      <c r="B1" s="831"/>
      <c r="C1" s="831"/>
      <c r="D1" s="831"/>
      <c r="E1" s="831"/>
      <c r="F1" s="831"/>
      <c r="G1" s="831"/>
    </row>
    <row r="2" spans="1:7" hidden="1"/>
    <row r="3" spans="1:7" hidden="1">
      <c r="F3" s="830" t="s">
        <v>73</v>
      </c>
      <c r="G3" s="830"/>
    </row>
    <row r="4" spans="1:7" ht="21.75" hidden="1" customHeight="1">
      <c r="A4" s="749" t="s">
        <v>36</v>
      </c>
      <c r="B4" s="749" t="s">
        <v>501</v>
      </c>
      <c r="C4" s="749"/>
      <c r="D4" s="749"/>
      <c r="E4" s="749"/>
      <c r="F4" s="749"/>
      <c r="G4" s="749"/>
    </row>
    <row r="5" spans="1:7" ht="21" hidden="1" customHeight="1">
      <c r="A5" s="749"/>
      <c r="B5" s="749" t="s">
        <v>419</v>
      </c>
      <c r="C5" s="749"/>
      <c r="D5" s="749" t="s">
        <v>504</v>
      </c>
      <c r="E5" s="749"/>
      <c r="F5" s="749"/>
      <c r="G5" s="749"/>
    </row>
    <row r="6" spans="1:7" ht="16.5" hidden="1" customHeight="1">
      <c r="A6" s="749"/>
      <c r="B6" s="749" t="s">
        <v>37</v>
      </c>
      <c r="C6" s="749" t="s">
        <v>38</v>
      </c>
      <c r="D6" s="832" t="s">
        <v>39</v>
      </c>
      <c r="E6" s="46"/>
      <c r="F6" s="832" t="s">
        <v>38</v>
      </c>
      <c r="G6" s="46"/>
    </row>
    <row r="7" spans="1:7" ht="16.5" hidden="1" customHeight="1" thickBot="1">
      <c r="A7" s="833"/>
      <c r="B7" s="833"/>
      <c r="C7" s="833"/>
      <c r="D7" s="833"/>
      <c r="E7" s="47" t="s">
        <v>42</v>
      </c>
      <c r="F7" s="833"/>
      <c r="G7" s="47" t="s">
        <v>42</v>
      </c>
    </row>
    <row r="8" spans="1:7" ht="19.5" hidden="1" customHeight="1" thickTop="1">
      <c r="A8" s="39" t="s">
        <v>43</v>
      </c>
      <c r="B8" s="182">
        <f>국가별수출!AD48-국가별수출!AD8</f>
        <v>34504</v>
      </c>
      <c r="C8" s="182">
        <f>국가별수출!AE48-국가별수출!AE8</f>
        <v>157113</v>
      </c>
      <c r="D8" s="182">
        <f>국가별수출!AF48-국가별수출!AF8</f>
        <v>49469</v>
      </c>
      <c r="E8" s="37">
        <f>ROUND(((D8/B8-1)*100),1)</f>
        <v>43.4</v>
      </c>
      <c r="F8" s="182">
        <f>국가별수출!AH48-국가별수출!AH8</f>
        <v>302022</v>
      </c>
      <c r="G8" s="37">
        <f>ROUND(((F8/C8-1)*100),1)</f>
        <v>92.2</v>
      </c>
    </row>
    <row r="9" spans="1:7" ht="19.5" hidden="1" customHeight="1">
      <c r="A9" s="39" t="s">
        <v>44</v>
      </c>
      <c r="B9" s="182">
        <f>국가별수출!AD49-국가별수출!AD9</f>
        <v>42312</v>
      </c>
      <c r="C9" s="182">
        <f>국가별수출!AE49-국가별수출!AE9</f>
        <v>141160</v>
      </c>
      <c r="D9" s="182">
        <f>국가별수출!AF49-국가별수출!AF9</f>
        <v>42462</v>
      </c>
      <c r="E9" s="37">
        <f t="shared" ref="E9:E38" si="0">ROUND(((D9/B9-1)*100),1)</f>
        <v>0.4</v>
      </c>
      <c r="F9" s="182">
        <f>국가별수출!AH49-국가별수출!AH9</f>
        <v>154916</v>
      </c>
      <c r="G9" s="37">
        <f t="shared" ref="G9:G38" si="1">ROUND(((F9/C9-1)*100),1)</f>
        <v>9.6999999999999993</v>
      </c>
    </row>
    <row r="10" spans="1:7" ht="19.5" hidden="1" customHeight="1">
      <c r="A10" s="39" t="s">
        <v>46</v>
      </c>
      <c r="B10" s="182">
        <f>국가별수출!AD50-국가별수출!AD10</f>
        <v>16873</v>
      </c>
      <c r="C10" s="182">
        <f>국가별수출!AE50-국가별수출!AE10</f>
        <v>69083</v>
      </c>
      <c r="D10" s="182">
        <f>국가별수출!AF50-국가별수출!AF10</f>
        <v>24637</v>
      </c>
      <c r="E10" s="37">
        <f t="shared" si="0"/>
        <v>46</v>
      </c>
      <c r="F10" s="182">
        <f>국가별수출!AH50-국가별수출!AH10</f>
        <v>102412</v>
      </c>
      <c r="G10" s="37">
        <f t="shared" si="1"/>
        <v>48.2</v>
      </c>
    </row>
    <row r="11" spans="1:7" ht="19.5" hidden="1" customHeight="1">
      <c r="A11" s="39" t="s">
        <v>45</v>
      </c>
      <c r="B11" s="182">
        <f>국가별수출!AD51-국가별수출!AD11</f>
        <v>31244</v>
      </c>
      <c r="C11" s="182">
        <f>국가별수출!AE51-국가별수출!AE11</f>
        <v>79440</v>
      </c>
      <c r="D11" s="182">
        <f>국가별수출!AF51-국가별수출!AF11</f>
        <v>22070</v>
      </c>
      <c r="E11" s="37">
        <f t="shared" si="0"/>
        <v>-29.4</v>
      </c>
      <c r="F11" s="182">
        <f>국가별수출!AH51-국가별수출!AH11</f>
        <v>65145</v>
      </c>
      <c r="G11" s="37">
        <f t="shared" si="1"/>
        <v>-18</v>
      </c>
    </row>
    <row r="12" spans="1:7" ht="19.5" hidden="1" customHeight="1">
      <c r="A12" s="39" t="s">
        <v>48</v>
      </c>
      <c r="B12" s="182">
        <f>국가별수출!AD52-국가별수출!AD12</f>
        <v>9285</v>
      </c>
      <c r="C12" s="182">
        <f>국가별수출!AE52-국가별수출!AE12</f>
        <v>33116</v>
      </c>
      <c r="D12" s="182">
        <f>국가별수출!AF52-국가별수출!AF12</f>
        <v>12175</v>
      </c>
      <c r="E12" s="37">
        <f t="shared" si="0"/>
        <v>31.1</v>
      </c>
      <c r="F12" s="182">
        <f>국가별수출!AH52-국가별수출!AH12</f>
        <v>44120</v>
      </c>
      <c r="G12" s="37">
        <f t="shared" si="1"/>
        <v>33.200000000000003</v>
      </c>
    </row>
    <row r="13" spans="1:7" ht="19.5" hidden="1" customHeight="1">
      <c r="A13" s="39" t="s">
        <v>49</v>
      </c>
      <c r="B13" s="182">
        <f>국가별수출!AD53-국가별수출!AD13</f>
        <v>12548</v>
      </c>
      <c r="C13" s="182">
        <f>국가별수출!AE53-국가별수출!AE13</f>
        <v>52358</v>
      </c>
      <c r="D13" s="182">
        <f>국가별수출!AF53-국가별수출!AF13</f>
        <v>8804</v>
      </c>
      <c r="E13" s="37">
        <f t="shared" si="0"/>
        <v>-29.8</v>
      </c>
      <c r="F13" s="182">
        <f>국가별수출!AH53-국가별수출!AH13</f>
        <v>38708</v>
      </c>
      <c r="G13" s="37">
        <f t="shared" si="1"/>
        <v>-26.1</v>
      </c>
    </row>
    <row r="14" spans="1:7" ht="19.5" hidden="1" customHeight="1">
      <c r="A14" s="39" t="s">
        <v>47</v>
      </c>
      <c r="B14" s="182">
        <f>국가별수출!AD54-국가별수출!AD14</f>
        <v>10323</v>
      </c>
      <c r="C14" s="182">
        <f>국가별수출!AE54-국가별수출!AE14</f>
        <v>46586</v>
      </c>
      <c r="D14" s="182">
        <f>국가별수출!AF54-국가별수출!AF14</f>
        <v>7874</v>
      </c>
      <c r="E14" s="37">
        <f t="shared" si="0"/>
        <v>-23.7</v>
      </c>
      <c r="F14" s="182">
        <f>국가별수출!AH54-국가별수출!AH14</f>
        <v>46663</v>
      </c>
      <c r="G14" s="37">
        <f t="shared" si="1"/>
        <v>0.2</v>
      </c>
    </row>
    <row r="15" spans="1:7" ht="19.5" hidden="1" customHeight="1">
      <c r="A15" s="39" t="s">
        <v>50</v>
      </c>
      <c r="B15" s="182">
        <f>국가별수출!AD55-국가별수출!AD15</f>
        <v>8961</v>
      </c>
      <c r="C15" s="182">
        <f>국가별수출!AE55-국가별수출!AE15</f>
        <v>46662</v>
      </c>
      <c r="D15" s="182">
        <f>국가별수출!AF55-국가별수출!AF15</f>
        <v>7452</v>
      </c>
      <c r="E15" s="37">
        <f t="shared" si="0"/>
        <v>-16.8</v>
      </c>
      <c r="F15" s="182">
        <f>국가별수출!AH55-국가별수출!AH15</f>
        <v>40086</v>
      </c>
      <c r="G15" s="37">
        <f t="shared" si="1"/>
        <v>-14.1</v>
      </c>
    </row>
    <row r="16" spans="1:7" ht="19.5" hidden="1" customHeight="1">
      <c r="A16" s="39" t="s">
        <v>51</v>
      </c>
      <c r="B16" s="182">
        <f>국가별수출!AD56-국가별수출!AD16</f>
        <v>6452</v>
      </c>
      <c r="C16" s="182">
        <f>국가별수출!AE56-국가별수출!AE16</f>
        <v>20147</v>
      </c>
      <c r="D16" s="182">
        <f>국가별수출!AF56-국가별수출!AF16</f>
        <v>7802</v>
      </c>
      <c r="E16" s="37">
        <f t="shared" si="0"/>
        <v>20.9</v>
      </c>
      <c r="F16" s="182">
        <f>국가별수출!AH56-국가별수출!AH16</f>
        <v>24480</v>
      </c>
      <c r="G16" s="37">
        <f t="shared" si="1"/>
        <v>21.5</v>
      </c>
    </row>
    <row r="17" spans="1:7" ht="19.5" hidden="1" customHeight="1">
      <c r="A17" s="39" t="s">
        <v>54</v>
      </c>
      <c r="B17" s="182">
        <f>국가별수출!AD57-국가별수출!AD17</f>
        <v>4818</v>
      </c>
      <c r="C17" s="182">
        <f>국가별수출!AE57-국가별수출!AE17</f>
        <v>18925</v>
      </c>
      <c r="D17" s="182">
        <f>국가별수출!AF57-국가별수출!AF17</f>
        <v>6543</v>
      </c>
      <c r="E17" s="37">
        <f t="shared" si="0"/>
        <v>35.799999999999997</v>
      </c>
      <c r="F17" s="182">
        <f>국가별수출!AH57-국가별수출!AH17</f>
        <v>27268</v>
      </c>
      <c r="G17" s="37">
        <f t="shared" si="1"/>
        <v>44.1</v>
      </c>
    </row>
    <row r="18" spans="1:7" ht="19.5" hidden="1" customHeight="1">
      <c r="A18" s="39" t="s">
        <v>58</v>
      </c>
      <c r="B18" s="182">
        <f>국가별수출!AD58-국가별수출!AD18</f>
        <v>4742</v>
      </c>
      <c r="C18" s="182">
        <f>국가별수출!AE58-국가별수출!AE18</f>
        <v>13665</v>
      </c>
      <c r="D18" s="182">
        <f>국가별수출!AF58-국가별수출!AF18</f>
        <v>2718</v>
      </c>
      <c r="E18" s="37">
        <f t="shared" si="0"/>
        <v>-42.7</v>
      </c>
      <c r="F18" s="182">
        <f>국가별수출!AH58-국가별수출!AH18</f>
        <v>10421</v>
      </c>
      <c r="G18" s="37">
        <f t="shared" si="1"/>
        <v>-23.7</v>
      </c>
    </row>
    <row r="19" spans="1:7" ht="19.5" hidden="1" customHeight="1">
      <c r="A19" s="39" t="s">
        <v>52</v>
      </c>
      <c r="B19" s="182">
        <f>국가별수출!AD59-국가별수출!AD19</f>
        <v>5239</v>
      </c>
      <c r="C19" s="182">
        <f>국가별수출!AE59-국가별수출!AE19</f>
        <v>31847</v>
      </c>
      <c r="D19" s="182">
        <f>국가별수출!AF59-국가별수출!AF19</f>
        <v>4795</v>
      </c>
      <c r="E19" s="37">
        <f t="shared" si="0"/>
        <v>-8.5</v>
      </c>
      <c r="F19" s="182">
        <f>국가별수출!AH59-국가별수출!AH19</f>
        <v>36606</v>
      </c>
      <c r="G19" s="37">
        <f t="shared" si="1"/>
        <v>14.9</v>
      </c>
    </row>
    <row r="20" spans="1:7" ht="19.5" hidden="1" customHeight="1">
      <c r="A20" s="39" t="s">
        <v>56</v>
      </c>
      <c r="B20" s="182">
        <f>국가별수출!AD60-국가별수출!AD20</f>
        <v>4591</v>
      </c>
      <c r="C20" s="182">
        <f>국가별수출!AE60-국가별수출!AE20</f>
        <v>13226</v>
      </c>
      <c r="D20" s="182">
        <f>국가별수출!AF60-국가별수출!AF20</f>
        <v>1325</v>
      </c>
      <c r="E20" s="37">
        <f t="shared" si="0"/>
        <v>-71.099999999999994</v>
      </c>
      <c r="F20" s="182">
        <f>국가별수출!AH60-국가별수출!AH20</f>
        <v>5136</v>
      </c>
      <c r="G20" s="37">
        <f t="shared" si="1"/>
        <v>-61.2</v>
      </c>
    </row>
    <row r="21" spans="1:7" ht="19.5" hidden="1" customHeight="1">
      <c r="A21" s="39" t="s">
        <v>53</v>
      </c>
      <c r="B21" s="182">
        <f>국가별수출!AD61-국가별수출!AD21</f>
        <v>2353</v>
      </c>
      <c r="C21" s="182">
        <f>국가별수출!AE61-국가별수출!AE21</f>
        <v>9954</v>
      </c>
      <c r="D21" s="182">
        <f>국가별수출!AF61-국가별수출!AF21</f>
        <v>3664</v>
      </c>
      <c r="E21" s="37">
        <f t="shared" si="0"/>
        <v>55.7</v>
      </c>
      <c r="F21" s="182">
        <f>국가별수출!AH61-국가별수출!AH21</f>
        <v>17951</v>
      </c>
      <c r="G21" s="37">
        <f t="shared" si="1"/>
        <v>80.3</v>
      </c>
    </row>
    <row r="22" spans="1:7" ht="19.5" hidden="1" customHeight="1">
      <c r="A22" s="39" t="s">
        <v>57</v>
      </c>
      <c r="B22" s="182">
        <f>국가별수출!AD62-국가별수출!AD22</f>
        <v>2720</v>
      </c>
      <c r="C22" s="182">
        <f>국가별수출!AE62-국가별수출!AE22</f>
        <v>8466</v>
      </c>
      <c r="D22" s="182">
        <f>국가별수출!AF62-국가별수출!AF22</f>
        <v>2343</v>
      </c>
      <c r="E22" s="37">
        <f t="shared" si="0"/>
        <v>-13.9</v>
      </c>
      <c r="F22" s="182">
        <f>국가별수출!AH62-국가별수출!AH22</f>
        <v>7982</v>
      </c>
      <c r="G22" s="37">
        <f t="shared" si="1"/>
        <v>-5.7</v>
      </c>
    </row>
    <row r="23" spans="1:7" ht="19.5" hidden="1" customHeight="1">
      <c r="A23" s="39" t="s">
        <v>70</v>
      </c>
      <c r="B23" s="182">
        <f>국가별수출!AD63-국가별수출!AD23</f>
        <v>2841</v>
      </c>
      <c r="C23" s="182">
        <f>국가별수출!AE63-국가별수출!AE23</f>
        <v>7917</v>
      </c>
      <c r="D23" s="182">
        <f>국가별수출!AF63-국가별수출!AF23</f>
        <v>20</v>
      </c>
      <c r="E23" s="37">
        <f t="shared" si="0"/>
        <v>-99.3</v>
      </c>
      <c r="F23" s="182">
        <f>국가별수출!AH63-국가별수출!AH23</f>
        <v>293</v>
      </c>
      <c r="G23" s="37">
        <f t="shared" si="1"/>
        <v>-96.3</v>
      </c>
    </row>
    <row r="24" spans="1:7" ht="19.5" hidden="1" customHeight="1">
      <c r="A24" s="39" t="s">
        <v>68</v>
      </c>
      <c r="B24" s="182">
        <f>국가별수출!AD64-국가별수출!AD24</f>
        <v>2485</v>
      </c>
      <c r="C24" s="182">
        <f>국가별수출!AE64-국가별수출!AE24</f>
        <v>7408</v>
      </c>
      <c r="D24" s="182">
        <f>국가별수출!AF64-국가별수출!AF24</f>
        <v>1806</v>
      </c>
      <c r="E24" s="37">
        <f t="shared" si="0"/>
        <v>-27.3</v>
      </c>
      <c r="F24" s="182">
        <f>국가별수출!AH64-국가별수출!AH24</f>
        <v>6259</v>
      </c>
      <c r="G24" s="37">
        <f t="shared" si="1"/>
        <v>-15.5</v>
      </c>
    </row>
    <row r="25" spans="1:7" ht="19.5" hidden="1" customHeight="1">
      <c r="A25" s="39" t="s">
        <v>60</v>
      </c>
      <c r="B25" s="182">
        <f>국가별수출!AD65-국가별수출!AD25</f>
        <v>1403</v>
      </c>
      <c r="C25" s="182">
        <f>국가별수출!AE65-국가별수출!AE25</f>
        <v>3262</v>
      </c>
      <c r="D25" s="182">
        <f>국가별수출!AF65-국가별수출!AF25</f>
        <v>727</v>
      </c>
      <c r="E25" s="37">
        <f t="shared" si="0"/>
        <v>-48.2</v>
      </c>
      <c r="F25" s="182">
        <f>국가별수출!AH65-국가별수출!AH25</f>
        <v>2079</v>
      </c>
      <c r="G25" s="37">
        <f t="shared" si="1"/>
        <v>-36.299999999999997</v>
      </c>
    </row>
    <row r="26" spans="1:7" ht="19.5" hidden="1" customHeight="1">
      <c r="A26" s="39" t="s">
        <v>55</v>
      </c>
      <c r="B26" s="182">
        <f>국가별수출!AD66-국가별수출!AD26</f>
        <v>2478</v>
      </c>
      <c r="C26" s="182">
        <f>국가별수출!AE66-국가별수출!AE26</f>
        <v>7252</v>
      </c>
      <c r="D26" s="182">
        <f>국가별수출!AF66-국가별수출!AF26</f>
        <v>2036</v>
      </c>
      <c r="E26" s="37">
        <f t="shared" si="0"/>
        <v>-17.8</v>
      </c>
      <c r="F26" s="182">
        <f>국가별수출!AH66-국가별수출!AH26</f>
        <v>7434</v>
      </c>
      <c r="G26" s="37">
        <f t="shared" si="1"/>
        <v>2.5</v>
      </c>
    </row>
    <row r="27" spans="1:7" ht="19.5" hidden="1" customHeight="1">
      <c r="A27" s="39" t="s">
        <v>421</v>
      </c>
      <c r="B27" s="182">
        <f>국가별수출!AD67-국가별수출!AD27</f>
        <v>974</v>
      </c>
      <c r="C27" s="182">
        <f>국가별수출!AE67-국가별수출!AE27</f>
        <v>10251</v>
      </c>
      <c r="D27" s="182">
        <f>국가별수출!AF67-국가별수출!AF27</f>
        <v>2240</v>
      </c>
      <c r="E27" s="37">
        <f t="shared" si="0"/>
        <v>130</v>
      </c>
      <c r="F27" s="182">
        <f>국가별수출!AH67-국가별수출!AH27</f>
        <v>23795</v>
      </c>
      <c r="G27" s="37">
        <f t="shared" si="1"/>
        <v>132.1</v>
      </c>
    </row>
    <row r="28" spans="1:7" ht="19.5" hidden="1" customHeight="1">
      <c r="A28" s="39" t="s">
        <v>422</v>
      </c>
      <c r="B28" s="182">
        <f>국가별수출!AD68-국가별수출!AD28</f>
        <v>661</v>
      </c>
      <c r="C28" s="182">
        <f>국가별수출!AE68-국가별수출!AE28</f>
        <v>4640</v>
      </c>
      <c r="D28" s="182">
        <f>국가별수출!AF68-국가별수출!AF28</f>
        <v>1128</v>
      </c>
      <c r="E28" s="37">
        <f t="shared" si="0"/>
        <v>70.7</v>
      </c>
      <c r="F28" s="182">
        <f>국가별수출!AH68-국가별수출!AH28</f>
        <v>9736</v>
      </c>
      <c r="G28" s="37">
        <f t="shared" si="1"/>
        <v>109.8</v>
      </c>
    </row>
    <row r="29" spans="1:7" ht="19.5" hidden="1" customHeight="1">
      <c r="A29" s="39" t="s">
        <v>63</v>
      </c>
      <c r="B29" s="182">
        <f>국가별수출!AD69-국가별수출!AD29</f>
        <v>2293</v>
      </c>
      <c r="C29" s="182">
        <f>국가별수출!AE69-국가별수출!AE29</f>
        <v>5394</v>
      </c>
      <c r="D29" s="182">
        <f>국가별수출!AF69-국가별수출!AF29</f>
        <v>2638</v>
      </c>
      <c r="E29" s="37">
        <f t="shared" si="0"/>
        <v>15</v>
      </c>
      <c r="F29" s="182">
        <f>국가별수출!AH69-국가별수출!AH29</f>
        <v>7312</v>
      </c>
      <c r="G29" s="37">
        <f t="shared" si="1"/>
        <v>35.6</v>
      </c>
    </row>
    <row r="30" spans="1:7" ht="19.5" hidden="1" customHeight="1">
      <c r="A30" s="39" t="s">
        <v>67</v>
      </c>
      <c r="B30" s="182">
        <f>국가별수출!AD70-국가별수출!AD30</f>
        <v>837</v>
      </c>
      <c r="C30" s="182">
        <f>국가별수출!AE70-국가별수출!AE30</f>
        <v>3041</v>
      </c>
      <c r="D30" s="182">
        <f>국가별수출!AF70-국가별수출!AF30</f>
        <v>613</v>
      </c>
      <c r="E30" s="37">
        <f t="shared" si="0"/>
        <v>-26.8</v>
      </c>
      <c r="F30" s="182">
        <f>국가별수출!AH70-국가별수출!AH30</f>
        <v>2262</v>
      </c>
      <c r="G30" s="37">
        <f t="shared" si="1"/>
        <v>-25.6</v>
      </c>
    </row>
    <row r="31" spans="1:7" ht="19.5" hidden="1" customHeight="1">
      <c r="A31" s="39" t="s">
        <v>77</v>
      </c>
      <c r="B31" s="182">
        <f>국가별수출!AD71-국가별수출!AD31</f>
        <v>33</v>
      </c>
      <c r="C31" s="182">
        <f>국가별수출!AE71-국가별수출!AE31</f>
        <v>213</v>
      </c>
      <c r="D31" s="182">
        <f>국가별수출!AF71-국가별수출!AF31</f>
        <v>1927</v>
      </c>
      <c r="E31" s="37">
        <f t="shared" si="0"/>
        <v>5739.4</v>
      </c>
      <c r="F31" s="182">
        <f>국가별수출!AH71-국가별수출!AH31</f>
        <v>7295</v>
      </c>
      <c r="G31" s="37">
        <f t="shared" si="1"/>
        <v>3324.9</v>
      </c>
    </row>
    <row r="32" spans="1:7" ht="19.5" hidden="1" customHeight="1">
      <c r="A32" s="29" t="s">
        <v>510</v>
      </c>
      <c r="B32" s="182">
        <f>국가별수출!AD72-국가별수출!AD32</f>
        <v>659</v>
      </c>
      <c r="C32" s="182">
        <f>국가별수출!AE72-국가별수출!AE32</f>
        <v>1556</v>
      </c>
      <c r="D32" s="182">
        <f>국가별수출!AF72-국가별수출!AF32</f>
        <v>960</v>
      </c>
      <c r="E32" s="37">
        <f t="shared" si="0"/>
        <v>45.7</v>
      </c>
      <c r="F32" s="182">
        <f>국가별수출!AH72-국가별수출!AH32</f>
        <v>2412</v>
      </c>
      <c r="G32" s="37">
        <f t="shared" si="1"/>
        <v>55</v>
      </c>
    </row>
    <row r="33" spans="1:7" ht="19.5" hidden="1" customHeight="1">
      <c r="A33" s="39" t="s">
        <v>81</v>
      </c>
      <c r="B33" s="182">
        <f>국가별수출!AD73-국가별수출!AD33</f>
        <v>631</v>
      </c>
      <c r="C33" s="182">
        <f>국가별수출!AE73-국가별수출!AE33</f>
        <v>1385</v>
      </c>
      <c r="D33" s="182">
        <f>국가별수출!AF73-국가별수출!AF33</f>
        <v>1423</v>
      </c>
      <c r="E33" s="37">
        <f t="shared" si="0"/>
        <v>125.5</v>
      </c>
      <c r="F33" s="182">
        <f>국가별수출!AH73-국가별수출!AH33</f>
        <v>3587</v>
      </c>
      <c r="G33" s="37">
        <f t="shared" si="1"/>
        <v>159</v>
      </c>
    </row>
    <row r="34" spans="1:7" ht="19.5" hidden="1" customHeight="1">
      <c r="A34" s="29" t="s">
        <v>59</v>
      </c>
      <c r="B34" s="182">
        <f>국가별수출!AD74-국가별수출!AD34</f>
        <v>735</v>
      </c>
      <c r="C34" s="182">
        <f>국가별수출!AE74-국가별수출!AE34</f>
        <v>4034</v>
      </c>
      <c r="D34" s="182">
        <f>국가별수출!AF74-국가별수출!AF34</f>
        <v>967</v>
      </c>
      <c r="E34" s="37">
        <f t="shared" si="0"/>
        <v>31.6</v>
      </c>
      <c r="F34" s="182">
        <f>국가별수출!AH74-국가별수출!AH34</f>
        <v>5080</v>
      </c>
      <c r="G34" s="37">
        <f t="shared" si="1"/>
        <v>25.9</v>
      </c>
    </row>
    <row r="35" spans="1:7" ht="19.5" hidden="1" customHeight="1">
      <c r="A35" s="29" t="s">
        <v>506</v>
      </c>
      <c r="B35" s="182">
        <f>국가별수출!AD75-국가별수출!AD35</f>
        <v>1370</v>
      </c>
      <c r="C35" s="182">
        <f>국가별수출!AE75-국가별수출!AE35</f>
        <v>3355</v>
      </c>
      <c r="D35" s="182">
        <f>국가별수출!AF75-국가별수출!AF35</f>
        <v>545</v>
      </c>
      <c r="E35" s="37">
        <f t="shared" si="0"/>
        <v>-60.2</v>
      </c>
      <c r="F35" s="182">
        <f>국가별수출!AH75-국가별수출!AH35</f>
        <v>1504</v>
      </c>
      <c r="G35" s="37">
        <f t="shared" si="1"/>
        <v>-55.2</v>
      </c>
    </row>
    <row r="36" spans="1:7" ht="19.5" hidden="1" customHeight="1">
      <c r="A36" s="39" t="s">
        <v>83</v>
      </c>
      <c r="B36" s="182">
        <f>국가별수출!AD76-국가별수출!AD36</f>
        <v>351</v>
      </c>
      <c r="C36" s="182">
        <f>국가별수출!AE76-국가별수출!AE36</f>
        <v>1658</v>
      </c>
      <c r="D36" s="182">
        <f>국가별수출!AF76-국가별수출!AF36</f>
        <v>766</v>
      </c>
      <c r="E36" s="37">
        <f t="shared" si="0"/>
        <v>118.2</v>
      </c>
      <c r="F36" s="182">
        <f>국가별수출!AH76-국가별수출!AH36</f>
        <v>3276</v>
      </c>
      <c r="G36" s="37">
        <f t="shared" si="1"/>
        <v>97.6</v>
      </c>
    </row>
    <row r="37" spans="1:7" ht="19.5" hidden="1" customHeight="1">
      <c r="A37" s="39" t="s">
        <v>511</v>
      </c>
      <c r="B37" s="182">
        <f>국가별수출!AD77-국가별수출!AD37</f>
        <v>254</v>
      </c>
      <c r="C37" s="182">
        <f>국가별수출!AE77-국가별수출!AE37</f>
        <v>540</v>
      </c>
      <c r="D37" s="182">
        <f>국가별수출!AF77-국가별수출!AF37</f>
        <v>122</v>
      </c>
      <c r="E37" s="37">
        <f t="shared" si="0"/>
        <v>-52</v>
      </c>
      <c r="F37" s="182">
        <f>국가별수출!AH77-국가별수출!AH37</f>
        <v>450</v>
      </c>
      <c r="G37" s="37">
        <f t="shared" si="1"/>
        <v>-16.7</v>
      </c>
    </row>
    <row r="38" spans="1:7" ht="19.5" hidden="1" customHeight="1">
      <c r="A38" s="52" t="s">
        <v>18</v>
      </c>
      <c r="B38" s="33">
        <f>B39-SUM(B8:B37)</f>
        <v>9042</v>
      </c>
      <c r="C38" s="33">
        <f>C39-SUM(C8:C37)</f>
        <v>39979</v>
      </c>
      <c r="D38" s="33">
        <f>D39-SUM(D8:D37)</f>
        <v>6413</v>
      </c>
      <c r="E38" s="37">
        <f t="shared" si="0"/>
        <v>-29.1</v>
      </c>
      <c r="F38" s="33">
        <f>F39-SUM(F8:F37)</f>
        <v>33110</v>
      </c>
      <c r="G38" s="38">
        <f t="shared" si="1"/>
        <v>-17.2</v>
      </c>
    </row>
    <row r="39" spans="1:7" ht="19.5" hidden="1" customHeight="1">
      <c r="A39" s="55" t="s">
        <v>72</v>
      </c>
      <c r="B39" s="382">
        <f>국가별수출!AD79-국가별수출!AD39</f>
        <v>224012</v>
      </c>
      <c r="C39" s="382">
        <f>국가별수출!AE79-국가별수출!AE39</f>
        <v>843633</v>
      </c>
      <c r="D39" s="382">
        <f>국가별수출!AF79-국가별수출!AF39</f>
        <v>228464</v>
      </c>
      <c r="E39" s="220">
        <f t="shared" ref="E39" si="2">ROUND(((D39/B39-1)*100),1)</f>
        <v>2</v>
      </c>
      <c r="F39" s="382">
        <f>국가별수출!AH79-국가별수출!AH39</f>
        <v>1039800</v>
      </c>
      <c r="G39" s="220">
        <f t="shared" ref="G39" si="3">ROUND(((F39/C39-1)*100),1)</f>
        <v>23.3</v>
      </c>
    </row>
    <row r="40" spans="1:7" hidden="1"/>
    <row r="41" spans="1:7" s="605" customFormat="1" ht="22.5" hidden="1">
      <c r="A41" s="831" t="s">
        <v>573</v>
      </c>
      <c r="B41" s="831"/>
      <c r="C41" s="831"/>
      <c r="D41" s="831"/>
      <c r="E41" s="831"/>
      <c r="F41" s="831"/>
      <c r="G41" s="831"/>
    </row>
    <row r="42" spans="1:7" s="605" customFormat="1" hidden="1">
      <c r="A42" s="43"/>
      <c r="B42" s="612"/>
      <c r="C42" s="612"/>
      <c r="D42" s="612"/>
      <c r="E42" s="45"/>
      <c r="F42" s="612"/>
      <c r="G42" s="45"/>
    </row>
    <row r="43" spans="1:7" s="605" customFormat="1" hidden="1">
      <c r="A43" s="43"/>
      <c r="B43" s="612"/>
      <c r="C43" s="612"/>
      <c r="D43" s="612"/>
      <c r="E43" s="45"/>
      <c r="F43" s="830" t="s">
        <v>73</v>
      </c>
      <c r="G43" s="830"/>
    </row>
    <row r="44" spans="1:7" s="605" customFormat="1" ht="21.75" hidden="1" customHeight="1">
      <c r="A44" s="749" t="s">
        <v>36</v>
      </c>
      <c r="B44" s="749" t="s">
        <v>583</v>
      </c>
      <c r="C44" s="749"/>
      <c r="D44" s="749"/>
      <c r="E44" s="749"/>
      <c r="F44" s="749"/>
      <c r="G44" s="749"/>
    </row>
    <row r="45" spans="1:7" s="605" customFormat="1" ht="21" hidden="1" customHeight="1">
      <c r="A45" s="749"/>
      <c r="B45" s="749" t="s">
        <v>419</v>
      </c>
      <c r="C45" s="749"/>
      <c r="D45" s="749" t="s">
        <v>504</v>
      </c>
      <c r="E45" s="749"/>
      <c r="F45" s="749"/>
      <c r="G45" s="749"/>
    </row>
    <row r="46" spans="1:7" s="605" customFormat="1" ht="16.5" hidden="1" customHeight="1">
      <c r="A46" s="749"/>
      <c r="B46" s="749" t="s">
        <v>37</v>
      </c>
      <c r="C46" s="749" t="s">
        <v>38</v>
      </c>
      <c r="D46" s="832" t="s">
        <v>39</v>
      </c>
      <c r="E46" s="46"/>
      <c r="F46" s="832" t="s">
        <v>38</v>
      </c>
      <c r="G46" s="46"/>
    </row>
    <row r="47" spans="1:7" s="605" customFormat="1" ht="16.5" hidden="1" customHeight="1" thickBot="1">
      <c r="A47" s="833"/>
      <c r="B47" s="833"/>
      <c r="C47" s="833"/>
      <c r="D47" s="833"/>
      <c r="E47" s="47" t="s">
        <v>42</v>
      </c>
      <c r="F47" s="833"/>
      <c r="G47" s="47" t="s">
        <v>42</v>
      </c>
    </row>
    <row r="48" spans="1:7" s="605" customFormat="1" ht="19.5" hidden="1" customHeight="1" thickTop="1">
      <c r="A48" s="611" t="s">
        <v>43</v>
      </c>
      <c r="B48" s="613">
        <f>국가별수출!AD88-국가별수출!AD48</f>
        <v>47277</v>
      </c>
      <c r="C48" s="613">
        <f>국가별수출!AE88-국가별수출!AE48</f>
        <v>211427</v>
      </c>
      <c r="D48" s="613">
        <f>국가별수출!AF88-국가별수출!AF48</f>
        <v>71318</v>
      </c>
      <c r="E48" s="37">
        <f>ROUND(((D48/B48-1)*100),1)</f>
        <v>50.9</v>
      </c>
      <c r="F48" s="613">
        <f>국가별수출!AH88-국가별수출!AH48</f>
        <v>386416</v>
      </c>
      <c r="G48" s="37">
        <f>ROUND(((F48/C48-1)*100),1)</f>
        <v>82.8</v>
      </c>
    </row>
    <row r="49" spans="1:7" s="605" customFormat="1" ht="19.5" hidden="1" customHeight="1">
      <c r="A49" s="611" t="s">
        <v>44</v>
      </c>
      <c r="B49" s="613">
        <f>국가별수출!AD89-국가별수출!AD49</f>
        <v>45512</v>
      </c>
      <c r="C49" s="613">
        <f>국가별수출!AE89-국가별수출!AE49</f>
        <v>143084</v>
      </c>
      <c r="D49" s="613">
        <f>국가별수출!AF89-국가별수출!AF49</f>
        <v>45684</v>
      </c>
      <c r="E49" s="37">
        <f t="shared" ref="E49:E79" si="4">ROUND(((D49/B49-1)*100),1)</f>
        <v>0.4</v>
      </c>
      <c r="F49" s="613">
        <f>국가별수출!AH89-국가별수출!AH49</f>
        <v>172078</v>
      </c>
      <c r="G49" s="37">
        <f t="shared" ref="G49:G79" si="5">ROUND(((F49/C49-1)*100),1)</f>
        <v>20.3</v>
      </c>
    </row>
    <row r="50" spans="1:7" s="605" customFormat="1" ht="19.5" hidden="1" customHeight="1">
      <c r="A50" s="611" t="s">
        <v>46</v>
      </c>
      <c r="B50" s="613">
        <f>국가별수출!AD90-국가별수출!AD50</f>
        <v>38088</v>
      </c>
      <c r="C50" s="613">
        <f>국가별수출!AE90-국가별수출!AE50</f>
        <v>110327</v>
      </c>
      <c r="D50" s="613">
        <f>국가별수출!AF90-국가별수출!AF50</f>
        <v>13842</v>
      </c>
      <c r="E50" s="37">
        <f t="shared" si="4"/>
        <v>-63.7</v>
      </c>
      <c r="F50" s="613">
        <f>국가별수출!AH90-국가별수출!AH50</f>
        <v>87074</v>
      </c>
      <c r="G50" s="37">
        <f t="shared" si="5"/>
        <v>-21.1</v>
      </c>
    </row>
    <row r="51" spans="1:7" s="605" customFormat="1" ht="19.5" hidden="1" customHeight="1">
      <c r="A51" s="611" t="s">
        <v>45</v>
      </c>
      <c r="B51" s="613">
        <f>국가별수출!AD91-국가별수출!AD51</f>
        <v>23349</v>
      </c>
      <c r="C51" s="613">
        <f>국가별수출!AE91-국가별수출!AE51</f>
        <v>58039</v>
      </c>
      <c r="D51" s="613">
        <f>국가별수출!AF91-국가별수출!AF51</f>
        <v>21062</v>
      </c>
      <c r="E51" s="37">
        <f t="shared" si="4"/>
        <v>-9.8000000000000007</v>
      </c>
      <c r="F51" s="613">
        <f>국가별수출!AH91-국가별수출!AH51</f>
        <v>65928</v>
      </c>
      <c r="G51" s="37">
        <f t="shared" si="5"/>
        <v>13.6</v>
      </c>
    </row>
    <row r="52" spans="1:7" s="605" customFormat="1" ht="19.5" hidden="1" customHeight="1">
      <c r="A52" s="611" t="s">
        <v>48</v>
      </c>
      <c r="B52" s="613">
        <f>국가별수출!AD92-국가별수출!AD52</f>
        <v>11197</v>
      </c>
      <c r="C52" s="613">
        <f>국가별수출!AE92-국가별수출!AE52</f>
        <v>37146</v>
      </c>
      <c r="D52" s="613">
        <f>국가별수출!AF92-국가별수출!AF52</f>
        <v>11299</v>
      </c>
      <c r="E52" s="37">
        <f t="shared" si="4"/>
        <v>0.9</v>
      </c>
      <c r="F52" s="613">
        <f>국가별수출!AH92-국가별수출!AH52</f>
        <v>50167</v>
      </c>
      <c r="G52" s="37">
        <f t="shared" si="5"/>
        <v>35.1</v>
      </c>
    </row>
    <row r="53" spans="1:7" s="605" customFormat="1" ht="19.5" hidden="1" customHeight="1">
      <c r="A53" s="611" t="s">
        <v>49</v>
      </c>
      <c r="B53" s="613">
        <f>국가별수출!AD93-국가별수출!AD53</f>
        <v>9555</v>
      </c>
      <c r="C53" s="613">
        <f>국가별수출!AE93-국가별수출!AE53</f>
        <v>31582</v>
      </c>
      <c r="D53" s="613">
        <f>국가별수출!AF93-국가별수출!AF53</f>
        <v>11793</v>
      </c>
      <c r="E53" s="37">
        <f t="shared" si="4"/>
        <v>23.4</v>
      </c>
      <c r="F53" s="613">
        <f>국가별수출!AH93-국가별수출!AH53</f>
        <v>35816</v>
      </c>
      <c r="G53" s="37">
        <f t="shared" si="5"/>
        <v>13.4</v>
      </c>
    </row>
    <row r="54" spans="1:7" s="605" customFormat="1" ht="19.5" hidden="1" customHeight="1">
      <c r="A54" s="611" t="s">
        <v>47</v>
      </c>
      <c r="B54" s="613">
        <f>국가별수출!AD94-국가별수출!AD54</f>
        <v>8667</v>
      </c>
      <c r="C54" s="613">
        <f>국가별수출!AE94-국가별수출!AE54</f>
        <v>48155</v>
      </c>
      <c r="D54" s="613">
        <f>국가별수출!AF94-국가별수출!AF54</f>
        <v>11123</v>
      </c>
      <c r="E54" s="37">
        <f t="shared" si="4"/>
        <v>28.3</v>
      </c>
      <c r="F54" s="613">
        <f>국가별수출!AH94-국가별수출!AH54</f>
        <v>63160</v>
      </c>
      <c r="G54" s="37">
        <f t="shared" si="5"/>
        <v>31.2</v>
      </c>
    </row>
    <row r="55" spans="1:7" s="605" customFormat="1" ht="19.5" hidden="1" customHeight="1">
      <c r="A55" s="611" t="s">
        <v>50</v>
      </c>
      <c r="B55" s="613">
        <f>국가별수출!AD95-국가별수출!AD55</f>
        <v>7216</v>
      </c>
      <c r="C55" s="613">
        <f>국가별수출!AE95-국가별수출!AE55</f>
        <v>35440</v>
      </c>
      <c r="D55" s="613">
        <f>국가별수출!AF95-국가별수출!AF55</f>
        <v>10493</v>
      </c>
      <c r="E55" s="37">
        <f t="shared" si="4"/>
        <v>45.4</v>
      </c>
      <c r="F55" s="613">
        <f>국가별수출!AH95-국가별수출!AH55</f>
        <v>56953</v>
      </c>
      <c r="G55" s="37">
        <f t="shared" si="5"/>
        <v>60.7</v>
      </c>
    </row>
    <row r="56" spans="1:7" s="605" customFormat="1" ht="19.5" hidden="1" customHeight="1">
      <c r="A56" s="611" t="s">
        <v>51</v>
      </c>
      <c r="B56" s="613">
        <f>국가별수출!AD96-국가별수출!AD56</f>
        <v>8940</v>
      </c>
      <c r="C56" s="613">
        <f>국가별수출!AE96-국가별수출!AE56</f>
        <v>27468</v>
      </c>
      <c r="D56" s="613">
        <f>국가별수출!AF96-국가별수출!AF56</f>
        <v>10709</v>
      </c>
      <c r="E56" s="37">
        <f t="shared" si="4"/>
        <v>19.8</v>
      </c>
      <c r="F56" s="613">
        <f>국가별수출!AH96-국가별수출!AH56</f>
        <v>33669</v>
      </c>
      <c r="G56" s="37">
        <f t="shared" si="5"/>
        <v>22.6</v>
      </c>
    </row>
    <row r="57" spans="1:7" s="605" customFormat="1" ht="19.5" hidden="1" customHeight="1">
      <c r="A57" s="611" t="s">
        <v>54</v>
      </c>
      <c r="B57" s="613">
        <f>국가별수출!AD97-국가별수출!AD57</f>
        <v>6716</v>
      </c>
      <c r="C57" s="613">
        <f>국가별수출!AE97-국가별수출!AE57</f>
        <v>23516</v>
      </c>
      <c r="D57" s="613">
        <f>국가별수출!AF97-국가별수출!AF57</f>
        <v>7145</v>
      </c>
      <c r="E57" s="37">
        <f t="shared" si="4"/>
        <v>6.4</v>
      </c>
      <c r="F57" s="613">
        <f>국가별수출!AH97-국가별수출!AH57</f>
        <v>27831</v>
      </c>
      <c r="G57" s="37">
        <f t="shared" si="5"/>
        <v>18.3</v>
      </c>
    </row>
    <row r="58" spans="1:7" s="605" customFormat="1" ht="19.5" hidden="1" customHeight="1">
      <c r="A58" s="611" t="s">
        <v>58</v>
      </c>
      <c r="B58" s="613">
        <f>국가별수출!AD98-국가별수출!AD58</f>
        <v>4717</v>
      </c>
      <c r="C58" s="613">
        <f>국가별수출!AE98-국가별수출!AE58</f>
        <v>14324</v>
      </c>
      <c r="D58" s="613">
        <f>국가별수출!AF98-국가별수출!AF58</f>
        <v>4825</v>
      </c>
      <c r="E58" s="37">
        <f t="shared" si="4"/>
        <v>2.2999999999999998</v>
      </c>
      <c r="F58" s="613">
        <f>국가별수출!AH98-국가별수출!AH58</f>
        <v>16821</v>
      </c>
      <c r="G58" s="37">
        <f t="shared" si="5"/>
        <v>17.399999999999999</v>
      </c>
    </row>
    <row r="59" spans="1:7" s="605" customFormat="1" ht="19.5" hidden="1" customHeight="1">
      <c r="A59" s="611" t="s">
        <v>52</v>
      </c>
      <c r="B59" s="613">
        <f>국가별수출!AD99-국가별수출!AD59</f>
        <v>4884</v>
      </c>
      <c r="C59" s="613">
        <f>국가별수출!AE99-국가별수출!AE59</f>
        <v>26931</v>
      </c>
      <c r="D59" s="613">
        <f>국가별수출!AF99-국가별수출!AF59</f>
        <v>5392</v>
      </c>
      <c r="E59" s="37">
        <f t="shared" si="4"/>
        <v>10.4</v>
      </c>
      <c r="F59" s="613">
        <f>국가별수출!AH99-국가별수출!AH59</f>
        <v>39707</v>
      </c>
      <c r="G59" s="37">
        <f t="shared" si="5"/>
        <v>47.4</v>
      </c>
    </row>
    <row r="60" spans="1:7" s="605" customFormat="1" ht="19.5" hidden="1" customHeight="1">
      <c r="A60" s="611" t="s">
        <v>56</v>
      </c>
      <c r="B60" s="613">
        <f>국가별수출!AD100-국가별수출!AD60</f>
        <v>4313</v>
      </c>
      <c r="C60" s="613">
        <f>국가별수출!AE100-국가별수출!AE60</f>
        <v>10877</v>
      </c>
      <c r="D60" s="613">
        <f>국가별수출!AF100-국가별수출!AF60</f>
        <v>2193</v>
      </c>
      <c r="E60" s="37">
        <f t="shared" si="4"/>
        <v>-49.2</v>
      </c>
      <c r="F60" s="613">
        <f>국가별수출!AH100-국가별수출!AH60</f>
        <v>7622</v>
      </c>
      <c r="G60" s="37">
        <f t="shared" si="5"/>
        <v>-29.9</v>
      </c>
    </row>
    <row r="61" spans="1:7" s="605" customFormat="1" ht="19.5" hidden="1" customHeight="1">
      <c r="A61" s="611" t="s">
        <v>53</v>
      </c>
      <c r="B61" s="613">
        <f>국가별수출!AD101-국가별수출!AD61</f>
        <v>3663</v>
      </c>
      <c r="C61" s="613">
        <f>국가별수출!AE101-국가별수출!AE61</f>
        <v>14919</v>
      </c>
      <c r="D61" s="613">
        <f>국가별수출!AF101-국가별수출!AF61</f>
        <v>4003</v>
      </c>
      <c r="E61" s="37">
        <f t="shared" si="4"/>
        <v>9.3000000000000007</v>
      </c>
      <c r="F61" s="613">
        <f>국가별수출!AH101-국가별수출!AH61</f>
        <v>20534</v>
      </c>
      <c r="G61" s="37">
        <f t="shared" si="5"/>
        <v>37.6</v>
      </c>
    </row>
    <row r="62" spans="1:7" s="605" customFormat="1" ht="19.5" hidden="1" customHeight="1">
      <c r="A62" s="611" t="s">
        <v>57</v>
      </c>
      <c r="B62" s="613">
        <f>국가별수출!AD102-국가별수출!AD62</f>
        <v>1627</v>
      </c>
      <c r="C62" s="613">
        <f>국가별수출!AE102-국가별수출!AE62</f>
        <v>5558</v>
      </c>
      <c r="D62" s="613">
        <f>국가별수출!AF102-국가별수출!AF62</f>
        <v>2841</v>
      </c>
      <c r="E62" s="37">
        <f t="shared" si="4"/>
        <v>74.599999999999994</v>
      </c>
      <c r="F62" s="613">
        <f>국가별수출!AH102-국가별수출!AH62</f>
        <v>9439</v>
      </c>
      <c r="G62" s="37">
        <f t="shared" si="5"/>
        <v>69.8</v>
      </c>
    </row>
    <row r="63" spans="1:7" s="605" customFormat="1" ht="19.5" hidden="1" customHeight="1">
      <c r="A63" s="611" t="s">
        <v>70</v>
      </c>
      <c r="B63" s="613">
        <f>국가별수출!AD103-국가별수출!AD63</f>
        <v>2810</v>
      </c>
      <c r="C63" s="613">
        <f>국가별수출!AE103-국가별수출!AE63</f>
        <v>7341</v>
      </c>
      <c r="D63" s="613">
        <f>국가별수출!AF103-국가별수출!AF63</f>
        <v>4896</v>
      </c>
      <c r="E63" s="37">
        <f t="shared" si="4"/>
        <v>74.2</v>
      </c>
      <c r="F63" s="613">
        <f>국가별수출!AH103-국가별수출!AH63</f>
        <v>12609</v>
      </c>
      <c r="G63" s="37">
        <f t="shared" si="5"/>
        <v>71.8</v>
      </c>
    </row>
    <row r="64" spans="1:7" s="605" customFormat="1" ht="19.5" hidden="1" customHeight="1">
      <c r="A64" s="611" t="s">
        <v>68</v>
      </c>
      <c r="B64" s="613">
        <f>국가별수출!AD104-국가별수출!AD64</f>
        <v>2735</v>
      </c>
      <c r="C64" s="613">
        <f>국가별수출!AE104-국가별수출!AE64</f>
        <v>7872</v>
      </c>
      <c r="D64" s="613">
        <f>국가별수출!AF104-국가별수출!AF64</f>
        <v>3076</v>
      </c>
      <c r="E64" s="37">
        <f t="shared" si="4"/>
        <v>12.5</v>
      </c>
      <c r="F64" s="613">
        <f>국가별수출!AH104-국가별수출!AH64</f>
        <v>10222</v>
      </c>
      <c r="G64" s="37">
        <f t="shared" si="5"/>
        <v>29.9</v>
      </c>
    </row>
    <row r="65" spans="1:7" s="605" customFormat="1" ht="19.5" hidden="1" customHeight="1">
      <c r="A65" s="611" t="s">
        <v>60</v>
      </c>
      <c r="B65" s="613">
        <f>국가별수출!AD105-국가별수출!AD65</f>
        <v>1339</v>
      </c>
      <c r="C65" s="613">
        <f>국가별수출!AE105-국가별수출!AE65</f>
        <v>3022</v>
      </c>
      <c r="D65" s="613">
        <f>국가별수출!AF105-국가별수출!AF65</f>
        <v>590</v>
      </c>
      <c r="E65" s="37">
        <f t="shared" si="4"/>
        <v>-55.9</v>
      </c>
      <c r="F65" s="613">
        <f>국가별수출!AH105-국가별수출!AH65</f>
        <v>1711</v>
      </c>
      <c r="G65" s="37">
        <f t="shared" si="5"/>
        <v>-43.4</v>
      </c>
    </row>
    <row r="66" spans="1:7" s="605" customFormat="1" ht="19.5" hidden="1" customHeight="1">
      <c r="A66" s="611" t="s">
        <v>55</v>
      </c>
      <c r="B66" s="613">
        <f>국가별수출!AD106-국가별수출!AD66</f>
        <v>2513</v>
      </c>
      <c r="C66" s="613">
        <f>국가별수출!AE106-국가별수출!AE66</f>
        <v>7179</v>
      </c>
      <c r="D66" s="613">
        <f>국가별수출!AF106-국가별수출!AF66</f>
        <v>1635</v>
      </c>
      <c r="E66" s="37">
        <f t="shared" si="4"/>
        <v>-34.9</v>
      </c>
      <c r="F66" s="613">
        <f>국가별수출!AH106-국가별수출!AH66</f>
        <v>6574</v>
      </c>
      <c r="G66" s="37">
        <f t="shared" si="5"/>
        <v>-8.4</v>
      </c>
    </row>
    <row r="67" spans="1:7" s="605" customFormat="1" ht="19.5" hidden="1" customHeight="1">
      <c r="A67" s="611" t="s">
        <v>421</v>
      </c>
      <c r="B67" s="613">
        <f>국가별수출!AD107-국가별수출!AD67</f>
        <v>1544</v>
      </c>
      <c r="C67" s="613">
        <f>국가별수출!AE107-국가별수출!AE67</f>
        <v>16141</v>
      </c>
      <c r="D67" s="613">
        <f>국가별수출!AF107-국가별수출!AF67</f>
        <v>2724</v>
      </c>
      <c r="E67" s="37">
        <f t="shared" si="4"/>
        <v>76.400000000000006</v>
      </c>
      <c r="F67" s="613">
        <f>국가별수출!AH107-국가별수출!AH67</f>
        <v>30079</v>
      </c>
      <c r="G67" s="37">
        <f t="shared" si="5"/>
        <v>86.4</v>
      </c>
    </row>
    <row r="68" spans="1:7" s="605" customFormat="1" ht="19.5" hidden="1" customHeight="1">
      <c r="A68" s="611" t="s">
        <v>422</v>
      </c>
      <c r="B68" s="613">
        <f>국가별수출!AD108-국가별수출!AD68</f>
        <v>1085</v>
      </c>
      <c r="C68" s="613">
        <f>국가별수출!AE108-국가별수출!AE68</f>
        <v>8198</v>
      </c>
      <c r="D68" s="613">
        <f>국가별수출!AF108-국가별수출!AF68</f>
        <v>2045</v>
      </c>
      <c r="E68" s="37">
        <f t="shared" si="4"/>
        <v>88.5</v>
      </c>
      <c r="F68" s="613">
        <f>국가별수출!AH108-국가별수출!AH68</f>
        <v>16118</v>
      </c>
      <c r="G68" s="37">
        <f t="shared" si="5"/>
        <v>96.6</v>
      </c>
    </row>
    <row r="69" spans="1:7" s="605" customFormat="1" ht="19.5" hidden="1" customHeight="1">
      <c r="A69" s="611" t="s">
        <v>63</v>
      </c>
      <c r="B69" s="613">
        <f>국가별수출!AD109-국가별수출!AD69</f>
        <v>1389</v>
      </c>
      <c r="C69" s="613">
        <f>국가별수출!AE109-국가별수출!AE69</f>
        <v>3353</v>
      </c>
      <c r="D69" s="613">
        <f>국가별수출!AF109-국가별수출!AF69</f>
        <v>2127</v>
      </c>
      <c r="E69" s="37">
        <f t="shared" si="4"/>
        <v>53.1</v>
      </c>
      <c r="F69" s="613">
        <f>국가별수출!AH109-국가별수출!AH69</f>
        <v>6270</v>
      </c>
      <c r="G69" s="37">
        <f t="shared" si="5"/>
        <v>87</v>
      </c>
    </row>
    <row r="70" spans="1:7" s="605" customFormat="1" ht="19.5" hidden="1" customHeight="1">
      <c r="A70" s="611" t="s">
        <v>67</v>
      </c>
      <c r="B70" s="613">
        <f>국가별수출!AD110-국가별수출!AD70</f>
        <v>1463</v>
      </c>
      <c r="C70" s="613">
        <f>국가별수출!AE110-국가별수출!AE70</f>
        <v>4158</v>
      </c>
      <c r="D70" s="613">
        <f>국가별수출!AF110-국가별수출!AF70</f>
        <v>769</v>
      </c>
      <c r="E70" s="37">
        <f t="shared" si="4"/>
        <v>-47.4</v>
      </c>
      <c r="F70" s="613">
        <f>국가별수출!AH110-국가별수출!AH70</f>
        <v>3456</v>
      </c>
      <c r="G70" s="37">
        <f t="shared" si="5"/>
        <v>-16.899999999999999</v>
      </c>
    </row>
    <row r="71" spans="1:7" s="605" customFormat="1" ht="19.5" hidden="1" customHeight="1">
      <c r="A71" s="611" t="s">
        <v>77</v>
      </c>
      <c r="B71" s="613">
        <f>국가별수출!AD111-국가별수출!AD71</f>
        <v>743</v>
      </c>
      <c r="C71" s="613">
        <f>국가별수출!AE111-국가별수출!AE71</f>
        <v>2090</v>
      </c>
      <c r="D71" s="613">
        <f>국가별수출!AF111-국가별수출!AF71</f>
        <v>1689</v>
      </c>
      <c r="E71" s="37">
        <f t="shared" si="4"/>
        <v>127.3</v>
      </c>
      <c r="F71" s="613">
        <f>국가별수출!AH111-국가별수출!AH71</f>
        <v>7265</v>
      </c>
      <c r="G71" s="37">
        <f t="shared" si="5"/>
        <v>247.6</v>
      </c>
    </row>
    <row r="72" spans="1:7" s="605" customFormat="1" ht="19.5" hidden="1" customHeight="1">
      <c r="A72" s="610" t="s">
        <v>510</v>
      </c>
      <c r="B72" s="613">
        <f>국가별수출!AD112-국가별수출!AD72</f>
        <v>762</v>
      </c>
      <c r="C72" s="613">
        <f>국가별수출!AE112-국가별수출!AE72</f>
        <v>1656</v>
      </c>
      <c r="D72" s="613">
        <f>국가별수출!AF112-국가별수출!AF72</f>
        <v>755</v>
      </c>
      <c r="E72" s="37">
        <f t="shared" si="4"/>
        <v>-0.9</v>
      </c>
      <c r="F72" s="613">
        <f>국가별수출!AH112-국가별수출!AH72</f>
        <v>1957</v>
      </c>
      <c r="G72" s="37">
        <f t="shared" si="5"/>
        <v>18.2</v>
      </c>
    </row>
    <row r="73" spans="1:7" s="605" customFormat="1" ht="19.5" hidden="1" customHeight="1">
      <c r="A73" s="611" t="s">
        <v>81</v>
      </c>
      <c r="B73" s="613">
        <f>국가별수출!AD113-국가별수출!AD73</f>
        <v>1525</v>
      </c>
      <c r="C73" s="613">
        <f>국가별수출!AE113-국가별수출!AE73</f>
        <v>3259</v>
      </c>
      <c r="D73" s="613">
        <f>국가별수출!AF113-국가별수출!AF73</f>
        <v>2127</v>
      </c>
      <c r="E73" s="37">
        <f t="shared" si="4"/>
        <v>39.5</v>
      </c>
      <c r="F73" s="613">
        <f>국가별수출!AH113-국가별수출!AH73</f>
        <v>5584</v>
      </c>
      <c r="G73" s="37">
        <f t="shared" si="5"/>
        <v>71.3</v>
      </c>
    </row>
    <row r="74" spans="1:7" s="605" customFormat="1" ht="19.5" hidden="1" customHeight="1">
      <c r="A74" s="610" t="s">
        <v>59</v>
      </c>
      <c r="B74" s="613">
        <f>국가별수출!AD114-국가별수출!AD74</f>
        <v>1033</v>
      </c>
      <c r="C74" s="613">
        <f>국가별수출!AE114-국가별수출!AE74</f>
        <v>4973</v>
      </c>
      <c r="D74" s="613">
        <f>국가별수출!AF114-국가별수출!AF74</f>
        <v>973</v>
      </c>
      <c r="E74" s="37">
        <f t="shared" si="4"/>
        <v>-5.8</v>
      </c>
      <c r="F74" s="613">
        <f>국가별수출!AH114-국가별수출!AH74</f>
        <v>5724</v>
      </c>
      <c r="G74" s="37">
        <f t="shared" si="5"/>
        <v>15.1</v>
      </c>
    </row>
    <row r="75" spans="1:7" s="605" customFormat="1" ht="19.5" hidden="1" customHeight="1">
      <c r="A75" s="610" t="s">
        <v>506</v>
      </c>
      <c r="B75" s="613">
        <f>국가별수출!AD115-국가별수출!AD75</f>
        <v>368</v>
      </c>
      <c r="C75" s="613">
        <f>국가별수출!AE115-국가별수출!AE75</f>
        <v>858</v>
      </c>
      <c r="D75" s="613">
        <f>국가별수출!AF115-국가별수출!AF75</f>
        <v>349</v>
      </c>
      <c r="E75" s="37">
        <f t="shared" si="4"/>
        <v>-5.2</v>
      </c>
      <c r="F75" s="613">
        <f>국가별수출!AH115-국가별수출!AH75</f>
        <v>1368</v>
      </c>
      <c r="G75" s="37">
        <f t="shared" si="5"/>
        <v>59.4</v>
      </c>
    </row>
    <row r="76" spans="1:7" s="605" customFormat="1" ht="19.5" hidden="1" customHeight="1">
      <c r="A76" s="611" t="s">
        <v>83</v>
      </c>
      <c r="B76" s="613">
        <f>국가별수출!AD116-국가별수출!AD76</f>
        <v>649</v>
      </c>
      <c r="C76" s="613">
        <f>국가별수출!AE116-국가별수출!AE76</f>
        <v>2244</v>
      </c>
      <c r="D76" s="613">
        <f>국가별수출!AF116-국가별수출!AF76</f>
        <v>870</v>
      </c>
      <c r="E76" s="37">
        <f t="shared" si="4"/>
        <v>34.1</v>
      </c>
      <c r="F76" s="613">
        <f>국가별수출!AH116-국가별수출!AH76</f>
        <v>3605</v>
      </c>
      <c r="G76" s="37">
        <f t="shared" si="5"/>
        <v>60.7</v>
      </c>
    </row>
    <row r="77" spans="1:7" s="605" customFormat="1" ht="19.5" hidden="1" customHeight="1">
      <c r="A77" s="611" t="s">
        <v>511</v>
      </c>
      <c r="B77" s="613">
        <f>국가별수출!AD117-국가별수출!AD77</f>
        <v>567</v>
      </c>
      <c r="C77" s="613">
        <f>국가별수출!AE117-국가별수출!AE77</f>
        <v>1189</v>
      </c>
      <c r="D77" s="613">
        <f>국가별수출!AF117-국가별수출!AF77</f>
        <v>195</v>
      </c>
      <c r="E77" s="37">
        <f t="shared" si="4"/>
        <v>-65.599999999999994</v>
      </c>
      <c r="F77" s="613">
        <f>국가별수출!AH117-국가별수출!AH77</f>
        <v>549</v>
      </c>
      <c r="G77" s="37">
        <f t="shared" si="5"/>
        <v>-53.8</v>
      </c>
    </row>
    <row r="78" spans="1:7" s="605" customFormat="1" ht="19.5" hidden="1" customHeight="1">
      <c r="A78" s="52" t="s">
        <v>18</v>
      </c>
      <c r="B78" s="33">
        <f>B79-SUM(B48:B77)</f>
        <v>10596</v>
      </c>
      <c r="C78" s="33">
        <f>C79-SUM(C48:C77)</f>
        <v>46605</v>
      </c>
      <c r="D78" s="33">
        <f>D79-SUM(D48:D77)</f>
        <v>8671</v>
      </c>
      <c r="E78" s="37">
        <f t="shared" si="4"/>
        <v>-18.2</v>
      </c>
      <c r="F78" s="33">
        <f>F79-SUM(F48:F77)</f>
        <v>43482</v>
      </c>
      <c r="G78" s="38">
        <f t="shared" si="5"/>
        <v>-6.7</v>
      </c>
    </row>
    <row r="79" spans="1:7" s="605" customFormat="1" ht="19.5" hidden="1" customHeight="1">
      <c r="A79" s="55" t="s">
        <v>72</v>
      </c>
      <c r="B79" s="382">
        <f>국가별수출!AD119-국가별수출!AD79</f>
        <v>256842</v>
      </c>
      <c r="C79" s="382">
        <f>국가별수출!AE119-국가별수출!AE79</f>
        <v>918931</v>
      </c>
      <c r="D79" s="382">
        <f>국가별수출!AF119-국가별수출!AF79</f>
        <v>267213</v>
      </c>
      <c r="E79" s="220">
        <f t="shared" si="4"/>
        <v>4</v>
      </c>
      <c r="F79" s="382">
        <f>국가별수출!AH119-국가별수출!AH79</f>
        <v>1229788</v>
      </c>
      <c r="G79" s="220">
        <f t="shared" si="5"/>
        <v>33.799999999999997</v>
      </c>
    </row>
    <row r="80" spans="1:7" s="605" customFormat="1" hidden="1">
      <c r="A80" s="43"/>
      <c r="B80" s="612"/>
      <c r="C80" s="612"/>
      <c r="D80" s="612"/>
      <c r="E80" s="45"/>
      <c r="F80" s="612"/>
      <c r="G80" s="45"/>
    </row>
    <row r="81" spans="1:7" s="605" customFormat="1" ht="22.5" hidden="1">
      <c r="A81" s="831" t="s">
        <v>591</v>
      </c>
      <c r="B81" s="831"/>
      <c r="C81" s="831"/>
      <c r="D81" s="831"/>
      <c r="E81" s="831"/>
      <c r="F81" s="831"/>
      <c r="G81" s="831"/>
    </row>
    <row r="82" spans="1:7" s="605" customFormat="1" hidden="1">
      <c r="A82" s="43"/>
      <c r="B82" s="612"/>
      <c r="C82" s="612"/>
      <c r="D82" s="612"/>
      <c r="E82" s="45"/>
      <c r="F82" s="612"/>
      <c r="G82" s="45"/>
    </row>
    <row r="83" spans="1:7" s="605" customFormat="1" hidden="1">
      <c r="A83" s="43"/>
      <c r="B83" s="612"/>
      <c r="C83" s="612"/>
      <c r="D83" s="612"/>
      <c r="E83" s="45"/>
      <c r="F83" s="830" t="s">
        <v>73</v>
      </c>
      <c r="G83" s="830"/>
    </row>
    <row r="84" spans="1:7" s="605" customFormat="1" ht="21.75" hidden="1" customHeight="1">
      <c r="A84" s="749" t="s">
        <v>36</v>
      </c>
      <c r="B84" s="749" t="s">
        <v>602</v>
      </c>
      <c r="C84" s="749"/>
      <c r="D84" s="749"/>
      <c r="E84" s="749"/>
      <c r="F84" s="749"/>
      <c r="G84" s="749"/>
    </row>
    <row r="85" spans="1:7" s="605" customFormat="1" ht="21" hidden="1" customHeight="1">
      <c r="A85" s="749"/>
      <c r="B85" s="749" t="s">
        <v>419</v>
      </c>
      <c r="C85" s="749"/>
      <c r="D85" s="749" t="s">
        <v>504</v>
      </c>
      <c r="E85" s="749"/>
      <c r="F85" s="749"/>
      <c r="G85" s="749"/>
    </row>
    <row r="86" spans="1:7" s="605" customFormat="1" ht="16.5" hidden="1" customHeight="1">
      <c r="A86" s="749"/>
      <c r="B86" s="749" t="s">
        <v>37</v>
      </c>
      <c r="C86" s="749" t="s">
        <v>38</v>
      </c>
      <c r="D86" s="832" t="s">
        <v>39</v>
      </c>
      <c r="E86" s="46"/>
      <c r="F86" s="832" t="s">
        <v>38</v>
      </c>
      <c r="G86" s="46"/>
    </row>
    <row r="87" spans="1:7" s="605" customFormat="1" ht="16.5" hidden="1" customHeight="1" thickBot="1">
      <c r="A87" s="833"/>
      <c r="B87" s="833"/>
      <c r="C87" s="833"/>
      <c r="D87" s="833"/>
      <c r="E87" s="47" t="s">
        <v>42</v>
      </c>
      <c r="F87" s="833"/>
      <c r="G87" s="47" t="s">
        <v>42</v>
      </c>
    </row>
    <row r="88" spans="1:7" s="605" customFormat="1" ht="19.5" hidden="1" customHeight="1" thickTop="1">
      <c r="A88" s="611" t="s">
        <v>43</v>
      </c>
      <c r="B88" s="613">
        <f>국가별수출!AD128-국가별수출!AD88</f>
        <v>61280</v>
      </c>
      <c r="C88" s="613">
        <f>국가별수출!AE128-국가별수출!AE88</f>
        <v>254211</v>
      </c>
      <c r="D88" s="613">
        <f>국가별수출!AF128-국가별수출!AF88</f>
        <v>78246</v>
      </c>
      <c r="E88" s="37">
        <f>ROUND(((D88/B88-1)*100),1)</f>
        <v>27.7</v>
      </c>
      <c r="F88" s="613">
        <f>국가별수출!AH128-국가별수출!AH88</f>
        <v>435004</v>
      </c>
      <c r="G88" s="37">
        <f>ROUND(((F88/C88-1)*100),1)</f>
        <v>71.099999999999994</v>
      </c>
    </row>
    <row r="89" spans="1:7" s="605" customFormat="1" ht="19.5" hidden="1" customHeight="1">
      <c r="A89" s="611" t="s">
        <v>44</v>
      </c>
      <c r="B89" s="613">
        <f>국가별수출!AD129-국가별수출!AD89</f>
        <v>38611</v>
      </c>
      <c r="C89" s="613">
        <f>국가별수출!AE129-국가별수출!AE89</f>
        <v>109499</v>
      </c>
      <c r="D89" s="613">
        <f>국가별수출!AF129-국가별수출!AF89</f>
        <v>44526</v>
      </c>
      <c r="E89" s="37">
        <f t="shared" ref="E89:E119" si="6">ROUND(((D89/B89-1)*100),1)</f>
        <v>15.3</v>
      </c>
      <c r="F89" s="613">
        <f>국가별수출!AH129-국가별수출!AH89</f>
        <v>151927</v>
      </c>
      <c r="G89" s="37">
        <f t="shared" ref="G89:G119" si="7">ROUND(((F89/C89-1)*100),1)</f>
        <v>38.700000000000003</v>
      </c>
    </row>
    <row r="90" spans="1:7" s="605" customFormat="1" ht="19.5" hidden="1" customHeight="1">
      <c r="A90" s="611" t="s">
        <v>46</v>
      </c>
      <c r="B90" s="613">
        <f>국가별수출!AD130-국가별수출!AD90</f>
        <v>30641</v>
      </c>
      <c r="C90" s="613">
        <f>국가별수출!AE130-국가별수출!AE90</f>
        <v>90597</v>
      </c>
      <c r="D90" s="613">
        <f>국가별수출!AF130-국가별수출!AF90</f>
        <v>23372</v>
      </c>
      <c r="E90" s="37">
        <f t="shared" si="6"/>
        <v>-23.7</v>
      </c>
      <c r="F90" s="613">
        <f>국가별수출!AH130-국가별수출!AH90</f>
        <v>105519</v>
      </c>
      <c r="G90" s="37">
        <f t="shared" si="7"/>
        <v>16.5</v>
      </c>
    </row>
    <row r="91" spans="1:7" s="605" customFormat="1" ht="19.5" hidden="1" customHeight="1">
      <c r="A91" s="611" t="s">
        <v>45</v>
      </c>
      <c r="B91" s="613">
        <f>국가별수출!AD131-국가별수출!AD91</f>
        <v>9281</v>
      </c>
      <c r="C91" s="613">
        <f>국가별수출!AE131-국가별수출!AE91</f>
        <v>24028</v>
      </c>
      <c r="D91" s="613">
        <f>국가별수출!AF131-국가별수출!AF91</f>
        <v>27493</v>
      </c>
      <c r="E91" s="37">
        <f t="shared" si="6"/>
        <v>196.2</v>
      </c>
      <c r="F91" s="613">
        <f>국가별수출!AH131-국가별수출!AH91</f>
        <v>83696</v>
      </c>
      <c r="G91" s="37">
        <f t="shared" si="7"/>
        <v>248.3</v>
      </c>
    </row>
    <row r="92" spans="1:7" s="605" customFormat="1" ht="19.5" hidden="1" customHeight="1">
      <c r="A92" s="611" t="s">
        <v>48</v>
      </c>
      <c r="B92" s="613">
        <f>국가별수출!AD132-국가별수출!AD92</f>
        <v>9762</v>
      </c>
      <c r="C92" s="613">
        <f>국가별수출!AE132-국가별수출!AE92</f>
        <v>30609</v>
      </c>
      <c r="D92" s="613">
        <f>국가별수출!AF132-국가별수출!AF92</f>
        <v>12041</v>
      </c>
      <c r="E92" s="37">
        <f t="shared" si="6"/>
        <v>23.3</v>
      </c>
      <c r="F92" s="613">
        <f>국가별수출!AH132-국가별수출!AH92</f>
        <v>53496</v>
      </c>
      <c r="G92" s="37">
        <f t="shared" si="7"/>
        <v>74.8</v>
      </c>
    </row>
    <row r="93" spans="1:7" s="605" customFormat="1" ht="19.5" hidden="1" customHeight="1">
      <c r="A93" s="611" t="s">
        <v>49</v>
      </c>
      <c r="B93" s="613">
        <f>국가별수출!AD133-국가별수출!AD93</f>
        <v>4682</v>
      </c>
      <c r="C93" s="613">
        <f>국가별수출!AE133-국가별수출!AE93</f>
        <v>19954</v>
      </c>
      <c r="D93" s="613">
        <f>국가별수출!AF133-국가별수출!AF93</f>
        <v>10447</v>
      </c>
      <c r="E93" s="37">
        <f t="shared" si="6"/>
        <v>123.1</v>
      </c>
      <c r="F93" s="613">
        <f>국가별수출!AH133-국가별수출!AH93</f>
        <v>43482</v>
      </c>
      <c r="G93" s="37">
        <f t="shared" si="7"/>
        <v>117.9</v>
      </c>
    </row>
    <row r="94" spans="1:7" s="605" customFormat="1" ht="19.5" hidden="1" customHeight="1">
      <c r="A94" s="611" t="s">
        <v>47</v>
      </c>
      <c r="B94" s="613">
        <f>국가별수출!AD134-국가별수출!AD94</f>
        <v>9142</v>
      </c>
      <c r="C94" s="613">
        <f>국가별수출!AE134-국가별수출!AE94</f>
        <v>44199</v>
      </c>
      <c r="D94" s="613">
        <f>국가별수출!AF134-국가별수출!AF94</f>
        <v>11266</v>
      </c>
      <c r="E94" s="37">
        <f t="shared" si="6"/>
        <v>23.2</v>
      </c>
      <c r="F94" s="613">
        <f>국가별수출!AH134-국가별수출!AH94</f>
        <v>65204</v>
      </c>
      <c r="G94" s="37">
        <f t="shared" si="7"/>
        <v>47.5</v>
      </c>
    </row>
    <row r="95" spans="1:7" s="605" customFormat="1" ht="19.5" hidden="1" customHeight="1">
      <c r="A95" s="611" t="s">
        <v>50</v>
      </c>
      <c r="B95" s="613">
        <f>국가별수출!AD135-국가별수출!AD95</f>
        <v>9231</v>
      </c>
      <c r="C95" s="613">
        <f>국가별수출!AE135-국가별수출!AE95</f>
        <v>37818</v>
      </c>
      <c r="D95" s="613">
        <f>국가별수출!AF135-국가별수출!AF95</f>
        <v>10477</v>
      </c>
      <c r="E95" s="37">
        <f t="shared" si="6"/>
        <v>13.5</v>
      </c>
      <c r="F95" s="613">
        <f>국가별수출!AH135-국가별수출!AH95</f>
        <v>56791</v>
      </c>
      <c r="G95" s="37">
        <f t="shared" si="7"/>
        <v>50.2</v>
      </c>
    </row>
    <row r="96" spans="1:7" s="605" customFormat="1" ht="19.5" hidden="1" customHeight="1">
      <c r="A96" s="611" t="s">
        <v>51</v>
      </c>
      <c r="B96" s="613">
        <f>국가별수출!AD136-국가별수출!AD96</f>
        <v>9158</v>
      </c>
      <c r="C96" s="613">
        <f>국가별수출!AE136-국가별수출!AE96</f>
        <v>22922</v>
      </c>
      <c r="D96" s="613">
        <f>국가별수출!AF136-국가별수출!AF96</f>
        <v>8673</v>
      </c>
      <c r="E96" s="37">
        <f t="shared" si="6"/>
        <v>-5.3</v>
      </c>
      <c r="F96" s="613">
        <f>국가별수출!AH136-국가별수출!AH96</f>
        <v>30646</v>
      </c>
      <c r="G96" s="37">
        <f t="shared" si="7"/>
        <v>33.700000000000003</v>
      </c>
    </row>
    <row r="97" spans="1:7" s="605" customFormat="1" ht="19.5" hidden="1" customHeight="1">
      <c r="A97" s="611" t="s">
        <v>54</v>
      </c>
      <c r="B97" s="613">
        <f>국가별수출!AD137-국가별수출!AD97</f>
        <v>6799</v>
      </c>
      <c r="C97" s="613">
        <f>국가별수출!AE137-국가별수출!AE97</f>
        <v>21780</v>
      </c>
      <c r="D97" s="613">
        <f>국가별수출!AF137-국가별수출!AF97</f>
        <v>5774</v>
      </c>
      <c r="E97" s="37">
        <f t="shared" si="6"/>
        <v>-15.1</v>
      </c>
      <c r="F97" s="613">
        <f>국가별수출!AH137-국가별수출!AH97</f>
        <v>27542</v>
      </c>
      <c r="G97" s="37">
        <f t="shared" si="7"/>
        <v>26.5</v>
      </c>
    </row>
    <row r="98" spans="1:7" s="605" customFormat="1" ht="19.5" hidden="1" customHeight="1">
      <c r="A98" s="611" t="s">
        <v>58</v>
      </c>
      <c r="B98" s="613">
        <f>국가별수출!AD138-국가별수출!AD98</f>
        <v>3393</v>
      </c>
      <c r="C98" s="613">
        <f>국가별수출!AE138-국가별수출!AE98</f>
        <v>9236</v>
      </c>
      <c r="D98" s="613">
        <f>국가별수출!AF138-국가별수출!AF98</f>
        <v>4772</v>
      </c>
      <c r="E98" s="37">
        <f t="shared" si="6"/>
        <v>40.6</v>
      </c>
      <c r="F98" s="613">
        <f>국가별수출!AH138-국가별수출!AH98</f>
        <v>17664</v>
      </c>
      <c r="G98" s="37">
        <f t="shared" si="7"/>
        <v>91.3</v>
      </c>
    </row>
    <row r="99" spans="1:7" s="605" customFormat="1" ht="19.5" hidden="1" customHeight="1">
      <c r="A99" s="611" t="s">
        <v>52</v>
      </c>
      <c r="B99" s="613">
        <f>국가별수출!AD139-국가별수출!AD99</f>
        <v>1107</v>
      </c>
      <c r="C99" s="613">
        <f>국가별수출!AE139-국가별수출!AE99</f>
        <v>6056</v>
      </c>
      <c r="D99" s="613">
        <f>국가별수출!AF139-국가별수출!AF99</f>
        <v>4296</v>
      </c>
      <c r="E99" s="37">
        <f t="shared" si="6"/>
        <v>288.10000000000002</v>
      </c>
      <c r="F99" s="613">
        <f>국가별수출!AH139-국가별수출!AH99</f>
        <v>36022</v>
      </c>
      <c r="G99" s="37">
        <f t="shared" si="7"/>
        <v>494.8</v>
      </c>
    </row>
    <row r="100" spans="1:7" s="605" customFormat="1" ht="19.5" hidden="1" customHeight="1">
      <c r="A100" s="611" t="s">
        <v>56</v>
      </c>
      <c r="B100" s="613">
        <f>국가별수출!AD140-국가별수출!AD100</f>
        <v>3399</v>
      </c>
      <c r="C100" s="613">
        <f>국가별수출!AE140-국가별수출!AE100</f>
        <v>7890</v>
      </c>
      <c r="D100" s="613">
        <f>국가별수출!AF140-국가별수출!AF100</f>
        <v>3068</v>
      </c>
      <c r="E100" s="37">
        <f t="shared" si="6"/>
        <v>-9.6999999999999993</v>
      </c>
      <c r="F100" s="613">
        <f>국가별수출!AH140-국가별수출!AH100</f>
        <v>10617</v>
      </c>
      <c r="G100" s="37">
        <f t="shared" si="7"/>
        <v>34.6</v>
      </c>
    </row>
    <row r="101" spans="1:7" s="605" customFormat="1" ht="19.5" hidden="1" customHeight="1">
      <c r="A101" s="611" t="s">
        <v>53</v>
      </c>
      <c r="B101" s="613">
        <f>국가별수출!AD141-국가별수출!AD101</f>
        <v>2036</v>
      </c>
      <c r="C101" s="613">
        <f>국가별수출!AE141-국가별수출!AE101</f>
        <v>10730</v>
      </c>
      <c r="D101" s="613">
        <f>국가별수출!AF141-국가별수출!AF101</f>
        <v>3676</v>
      </c>
      <c r="E101" s="37">
        <f t="shared" si="6"/>
        <v>80.599999999999994</v>
      </c>
      <c r="F101" s="613">
        <f>국가별수출!AH141-국가별수출!AH101</f>
        <v>21642</v>
      </c>
      <c r="G101" s="37">
        <f t="shared" si="7"/>
        <v>101.7</v>
      </c>
    </row>
    <row r="102" spans="1:7" s="605" customFormat="1" ht="19.5" hidden="1" customHeight="1">
      <c r="A102" s="611" t="s">
        <v>57</v>
      </c>
      <c r="B102" s="613">
        <f>국가별수출!AD142-국가별수출!AD102</f>
        <v>5814</v>
      </c>
      <c r="C102" s="613">
        <f>국가별수출!AE142-국가별수출!AE102</f>
        <v>14163</v>
      </c>
      <c r="D102" s="613">
        <f>국가별수출!AF142-국가별수출!AF102</f>
        <v>2261</v>
      </c>
      <c r="E102" s="37">
        <f t="shared" si="6"/>
        <v>-61.1</v>
      </c>
      <c r="F102" s="613">
        <f>국가별수출!AH142-국가별수출!AH102</f>
        <v>7676</v>
      </c>
      <c r="G102" s="37">
        <f t="shared" si="7"/>
        <v>-45.8</v>
      </c>
    </row>
    <row r="103" spans="1:7" s="605" customFormat="1" ht="19.5" hidden="1" customHeight="1">
      <c r="A103" s="611" t="s">
        <v>70</v>
      </c>
      <c r="B103" s="613">
        <f>국가별수출!AD143-국가별수출!AD103</f>
        <v>2176</v>
      </c>
      <c r="C103" s="613">
        <f>국가별수출!AE143-국가별수출!AE103</f>
        <v>6199</v>
      </c>
      <c r="D103" s="613">
        <f>국가별수출!AF143-국가별수출!AF103</f>
        <v>2429</v>
      </c>
      <c r="E103" s="37">
        <f t="shared" si="6"/>
        <v>11.6</v>
      </c>
      <c r="F103" s="613">
        <f>국가별수출!AH143-국가별수출!AH103</f>
        <v>8460</v>
      </c>
      <c r="G103" s="37">
        <f t="shared" si="7"/>
        <v>36.5</v>
      </c>
    </row>
    <row r="104" spans="1:7" s="605" customFormat="1" ht="19.5" hidden="1" customHeight="1">
      <c r="A104" s="611" t="s">
        <v>68</v>
      </c>
      <c r="B104" s="613">
        <f>국가별수출!AD144-국가별수출!AD104</f>
        <v>2889</v>
      </c>
      <c r="C104" s="613">
        <f>국가별수출!AE144-국가별수출!AE104</f>
        <v>8166</v>
      </c>
      <c r="D104" s="613">
        <f>국가별수출!AF144-국가별수출!AF104</f>
        <v>3735</v>
      </c>
      <c r="E104" s="37">
        <f t="shared" si="6"/>
        <v>29.3</v>
      </c>
      <c r="F104" s="613">
        <f>국가별수출!AH144-국가별수출!AH104</f>
        <v>12618</v>
      </c>
      <c r="G104" s="37">
        <f t="shared" si="7"/>
        <v>54.5</v>
      </c>
    </row>
    <row r="105" spans="1:7" s="605" customFormat="1" ht="19.5" hidden="1" customHeight="1">
      <c r="A105" s="611" t="s">
        <v>60</v>
      </c>
      <c r="B105" s="613">
        <f>국가별수출!AD145-국가별수출!AD105</f>
        <v>1280</v>
      </c>
      <c r="C105" s="613">
        <f>국가별수출!AE145-국가별수출!AE105</f>
        <v>2853</v>
      </c>
      <c r="D105" s="613">
        <f>국가별수출!AF145-국가별수출!AF105</f>
        <v>222</v>
      </c>
      <c r="E105" s="37">
        <f t="shared" si="6"/>
        <v>-82.7</v>
      </c>
      <c r="F105" s="613">
        <f>국가별수출!AH145-국가별수출!AH105</f>
        <v>885</v>
      </c>
      <c r="G105" s="37">
        <f t="shared" si="7"/>
        <v>-69</v>
      </c>
    </row>
    <row r="106" spans="1:7" s="605" customFormat="1" ht="19.5" hidden="1" customHeight="1">
      <c r="A106" s="611" t="s">
        <v>55</v>
      </c>
      <c r="B106" s="613">
        <f>국가별수출!AD146-국가별수출!AD106</f>
        <v>2544</v>
      </c>
      <c r="C106" s="613">
        <f>국가별수출!AE146-국가별수출!AE106</f>
        <v>7070</v>
      </c>
      <c r="D106" s="613">
        <f>국가별수출!AF146-국가별수출!AF106</f>
        <v>929</v>
      </c>
      <c r="E106" s="37">
        <f t="shared" si="6"/>
        <v>-63.5</v>
      </c>
      <c r="F106" s="613">
        <f>국가별수출!AH146-국가별수출!AH106</f>
        <v>3003</v>
      </c>
      <c r="G106" s="37">
        <f t="shared" si="7"/>
        <v>-57.5</v>
      </c>
    </row>
    <row r="107" spans="1:7" s="605" customFormat="1" ht="19.5" hidden="1" customHeight="1">
      <c r="A107" s="611" t="s">
        <v>421</v>
      </c>
      <c r="B107" s="613">
        <f>국가별수출!AD147-국가별수출!AD107</f>
        <v>1560</v>
      </c>
      <c r="C107" s="613">
        <f>국가별수출!AE147-국가별수출!AE107</f>
        <v>15112</v>
      </c>
      <c r="D107" s="613">
        <f>국가별수출!AF147-국가별수출!AF107</f>
        <v>2549</v>
      </c>
      <c r="E107" s="37">
        <f t="shared" si="6"/>
        <v>63.4</v>
      </c>
      <c r="F107" s="613">
        <f>국가별수출!AH147-국가별수출!AH107</f>
        <v>26542</v>
      </c>
      <c r="G107" s="37">
        <f t="shared" si="7"/>
        <v>75.599999999999994</v>
      </c>
    </row>
    <row r="108" spans="1:7" s="605" customFormat="1" ht="19.5" hidden="1" customHeight="1">
      <c r="A108" s="611" t="s">
        <v>422</v>
      </c>
      <c r="B108" s="613">
        <f>국가별수출!AD148-국가별수출!AD108</f>
        <v>898</v>
      </c>
      <c r="C108" s="613">
        <f>국가별수출!AE148-국가별수출!AE108</f>
        <v>6855</v>
      </c>
      <c r="D108" s="613">
        <f>국가별수출!AF148-국가별수출!AF108</f>
        <v>1847</v>
      </c>
      <c r="E108" s="37">
        <f t="shared" si="6"/>
        <v>105.7</v>
      </c>
      <c r="F108" s="613">
        <f>국가별수출!AH148-국가별수출!AH108</f>
        <v>14654</v>
      </c>
      <c r="G108" s="37">
        <f t="shared" si="7"/>
        <v>113.8</v>
      </c>
    </row>
    <row r="109" spans="1:7" s="605" customFormat="1" ht="19.5" hidden="1" customHeight="1">
      <c r="A109" s="611" t="s">
        <v>63</v>
      </c>
      <c r="B109" s="613">
        <f>국가별수출!AD149-국가별수출!AD109</f>
        <v>126</v>
      </c>
      <c r="C109" s="613">
        <f>국가별수출!AE149-국가별수출!AE109</f>
        <v>540</v>
      </c>
      <c r="D109" s="613">
        <f>국가별수출!AF149-국가별수출!AF109</f>
        <v>1238</v>
      </c>
      <c r="E109" s="37">
        <f t="shared" si="6"/>
        <v>882.5</v>
      </c>
      <c r="F109" s="613">
        <f>국가별수출!AH149-국가별수출!AH109</f>
        <v>3290</v>
      </c>
      <c r="G109" s="37">
        <f t="shared" si="7"/>
        <v>509.3</v>
      </c>
    </row>
    <row r="110" spans="1:7" s="605" customFormat="1" ht="19.5" hidden="1" customHeight="1">
      <c r="A110" s="611" t="s">
        <v>67</v>
      </c>
      <c r="B110" s="613">
        <f>국가별수출!AD150-국가별수출!AD110</f>
        <v>706</v>
      </c>
      <c r="C110" s="613">
        <f>국가별수출!AE150-국가별수출!AE110</f>
        <v>2407</v>
      </c>
      <c r="D110" s="613">
        <f>국가별수출!AF150-국가별수출!AF110</f>
        <v>624</v>
      </c>
      <c r="E110" s="37">
        <f t="shared" si="6"/>
        <v>-11.6</v>
      </c>
      <c r="F110" s="613">
        <f>국가별수출!AH150-국가별수출!AH110</f>
        <v>2959</v>
      </c>
      <c r="G110" s="37">
        <f t="shared" si="7"/>
        <v>22.9</v>
      </c>
    </row>
    <row r="111" spans="1:7" s="605" customFormat="1" ht="19.5" hidden="1" customHeight="1">
      <c r="A111" s="611" t="s">
        <v>77</v>
      </c>
      <c r="B111" s="613">
        <f>국가별수출!AD151-국가별수출!AD111</f>
        <v>1161</v>
      </c>
      <c r="C111" s="613">
        <f>국가별수출!AE151-국가별수출!AE111</f>
        <v>3161</v>
      </c>
      <c r="D111" s="613">
        <f>국가별수출!AF151-국가별수출!AF111</f>
        <v>2185</v>
      </c>
      <c r="E111" s="37">
        <f t="shared" si="6"/>
        <v>88.2</v>
      </c>
      <c r="F111" s="613">
        <f>국가별수출!AH151-국가별수출!AH111</f>
        <v>8380</v>
      </c>
      <c r="G111" s="37">
        <f t="shared" si="7"/>
        <v>165.1</v>
      </c>
    </row>
    <row r="112" spans="1:7" s="605" customFormat="1" ht="19.5" hidden="1" customHeight="1">
      <c r="A112" s="610" t="s">
        <v>510</v>
      </c>
      <c r="B112" s="613">
        <f>국가별수출!AD152-국가별수출!AD112</f>
        <v>518</v>
      </c>
      <c r="C112" s="613">
        <f>국가별수출!AE152-국가별수출!AE112</f>
        <v>1225</v>
      </c>
      <c r="D112" s="613">
        <f>국가별수출!AF152-국가별수출!AF112</f>
        <v>1012</v>
      </c>
      <c r="E112" s="37">
        <f t="shared" si="6"/>
        <v>95.4</v>
      </c>
      <c r="F112" s="613">
        <f>국가별수출!AH152-국가별수출!AH112</f>
        <v>2783</v>
      </c>
      <c r="G112" s="37">
        <f t="shared" si="7"/>
        <v>127.2</v>
      </c>
    </row>
    <row r="113" spans="1:7" s="605" customFormat="1" ht="19.5" hidden="1" customHeight="1">
      <c r="A113" s="611" t="s">
        <v>81</v>
      </c>
      <c r="B113" s="613">
        <f>국가별수출!AD153-국가별수출!AD113</f>
        <v>933</v>
      </c>
      <c r="C113" s="613">
        <f>국가별수출!AE153-국가별수출!AE113</f>
        <v>1986</v>
      </c>
      <c r="D113" s="613">
        <f>국가별수출!AF153-국가별수출!AF113</f>
        <v>2684</v>
      </c>
      <c r="E113" s="37">
        <f t="shared" si="6"/>
        <v>187.7</v>
      </c>
      <c r="F113" s="613">
        <f>국가별수출!AH153-국가별수출!AH113</f>
        <v>7426</v>
      </c>
      <c r="G113" s="37">
        <f t="shared" si="7"/>
        <v>273.89999999999998</v>
      </c>
    </row>
    <row r="114" spans="1:7" s="605" customFormat="1" ht="19.5" hidden="1" customHeight="1">
      <c r="A114" s="610" t="s">
        <v>59</v>
      </c>
      <c r="B114" s="613">
        <f>국가별수출!AD154-국가별수출!AD114</f>
        <v>786</v>
      </c>
      <c r="C114" s="613">
        <f>국가별수출!AE154-국가별수출!AE114</f>
        <v>3574</v>
      </c>
      <c r="D114" s="613">
        <f>국가별수출!AF154-국가별수출!AF114</f>
        <v>1032</v>
      </c>
      <c r="E114" s="37">
        <f t="shared" si="6"/>
        <v>31.3</v>
      </c>
      <c r="F114" s="613">
        <f>국가별수출!AH154-국가별수출!AH114</f>
        <v>7547</v>
      </c>
      <c r="G114" s="37">
        <f t="shared" si="7"/>
        <v>111.2</v>
      </c>
    </row>
    <row r="115" spans="1:7" s="605" customFormat="1" ht="19.5" hidden="1" customHeight="1">
      <c r="A115" s="610" t="s">
        <v>506</v>
      </c>
      <c r="B115" s="613">
        <f>국가별수출!AD155-국가별수출!AD115</f>
        <v>873</v>
      </c>
      <c r="C115" s="613">
        <f>국가별수출!AE155-국가별수출!AE115</f>
        <v>1664</v>
      </c>
      <c r="D115" s="613">
        <f>국가별수출!AF155-국가별수출!AF115</f>
        <v>15</v>
      </c>
      <c r="E115" s="37">
        <f t="shared" si="6"/>
        <v>-98.3</v>
      </c>
      <c r="F115" s="613">
        <f>국가별수출!AH155-국가별수출!AH115</f>
        <v>233</v>
      </c>
      <c r="G115" s="37">
        <f t="shared" si="7"/>
        <v>-86</v>
      </c>
    </row>
    <row r="116" spans="1:7" s="605" customFormat="1" ht="19.5" hidden="1" customHeight="1">
      <c r="A116" s="611" t="s">
        <v>83</v>
      </c>
      <c r="B116" s="613">
        <f>국가별수출!AD156-국가별수출!AD116</f>
        <v>635</v>
      </c>
      <c r="C116" s="613">
        <f>국가별수출!AE156-국가별수출!AE116</f>
        <v>1976</v>
      </c>
      <c r="D116" s="613">
        <f>국가별수출!AF156-국가별수출!AF116</f>
        <v>362</v>
      </c>
      <c r="E116" s="37">
        <f t="shared" si="6"/>
        <v>-43</v>
      </c>
      <c r="F116" s="613">
        <f>국가별수출!AH156-국가별수출!AH116</f>
        <v>1945</v>
      </c>
      <c r="G116" s="37">
        <f t="shared" si="7"/>
        <v>-1.6</v>
      </c>
    </row>
    <row r="117" spans="1:7" s="605" customFormat="1" ht="19.5" hidden="1" customHeight="1">
      <c r="A117" s="611" t="s">
        <v>511</v>
      </c>
      <c r="B117" s="613">
        <f>국가별수출!AD157-국가별수출!AD117</f>
        <v>822</v>
      </c>
      <c r="C117" s="613">
        <f>국가별수출!AE157-국가별수출!AE117</f>
        <v>1596</v>
      </c>
      <c r="D117" s="613">
        <f>국가별수출!AF157-국가별수출!AF117</f>
        <v>263</v>
      </c>
      <c r="E117" s="37">
        <f t="shared" si="6"/>
        <v>-68</v>
      </c>
      <c r="F117" s="613">
        <f>국가별수출!AH157-국가별수출!AH117</f>
        <v>699</v>
      </c>
      <c r="G117" s="37">
        <f t="shared" si="7"/>
        <v>-56.2</v>
      </c>
    </row>
    <row r="118" spans="1:7" s="605" customFormat="1" ht="19.5" hidden="1" customHeight="1">
      <c r="A118" s="52" t="s">
        <v>18</v>
      </c>
      <c r="B118" s="33">
        <f>B119-SUM(B88:B117)</f>
        <v>7904</v>
      </c>
      <c r="C118" s="33">
        <f>C119-SUM(C88:C117)</f>
        <v>37100</v>
      </c>
      <c r="D118" s="33">
        <f>D119-SUM(D88:D117)</f>
        <v>6101</v>
      </c>
      <c r="E118" s="37">
        <f t="shared" si="6"/>
        <v>-22.8</v>
      </c>
      <c r="F118" s="33">
        <f>F119-SUM(F88:F117)</f>
        <v>38622</v>
      </c>
      <c r="G118" s="38">
        <f t="shared" si="7"/>
        <v>4.0999999999999996</v>
      </c>
    </row>
    <row r="119" spans="1:7" s="605" customFormat="1" ht="19.5" hidden="1" customHeight="1">
      <c r="A119" s="55" t="s">
        <v>72</v>
      </c>
      <c r="B119" s="382">
        <f>국가별수출!AD159-국가별수출!AD119</f>
        <v>230147</v>
      </c>
      <c r="C119" s="382">
        <f>국가별수출!AE159-국가별수출!AE119</f>
        <v>805176</v>
      </c>
      <c r="D119" s="382">
        <f>국가별수출!AF159-국가별수출!AF119</f>
        <v>277615</v>
      </c>
      <c r="E119" s="220">
        <f t="shared" si="6"/>
        <v>20.6</v>
      </c>
      <c r="F119" s="382">
        <f>국가별수출!AH159-국가별수출!AH119</f>
        <v>1286974</v>
      </c>
      <c r="G119" s="220">
        <f t="shared" si="7"/>
        <v>59.8</v>
      </c>
    </row>
    <row r="120" spans="1:7" hidden="1"/>
    <row r="121" spans="1:7" s="605" customFormat="1" ht="22.5">
      <c r="A121" s="831" t="s">
        <v>606</v>
      </c>
      <c r="B121" s="831"/>
      <c r="C121" s="831"/>
      <c r="D121" s="831"/>
      <c r="E121" s="831"/>
      <c r="F121" s="831"/>
      <c r="G121" s="831"/>
    </row>
    <row r="122" spans="1:7" s="605" customFormat="1">
      <c r="A122" s="43"/>
      <c r="B122" s="612"/>
      <c r="C122" s="612"/>
      <c r="D122" s="612"/>
      <c r="E122" s="45"/>
      <c r="F122" s="612"/>
      <c r="G122" s="45"/>
    </row>
    <row r="123" spans="1:7" s="605" customFormat="1">
      <c r="A123" s="43"/>
      <c r="B123" s="612"/>
      <c r="C123" s="612"/>
      <c r="D123" s="612"/>
      <c r="E123" s="45"/>
      <c r="F123" s="830" t="s">
        <v>73</v>
      </c>
      <c r="G123" s="830"/>
    </row>
    <row r="124" spans="1:7" s="605" customFormat="1" ht="21.75" customHeight="1">
      <c r="A124" s="749" t="s">
        <v>36</v>
      </c>
      <c r="B124" s="749" t="s">
        <v>607</v>
      </c>
      <c r="C124" s="749"/>
      <c r="D124" s="749"/>
      <c r="E124" s="749"/>
      <c r="F124" s="749"/>
      <c r="G124" s="749"/>
    </row>
    <row r="125" spans="1:7" s="605" customFormat="1" ht="21" customHeight="1">
      <c r="A125" s="749"/>
      <c r="B125" s="749" t="s">
        <v>419</v>
      </c>
      <c r="C125" s="749"/>
      <c r="D125" s="749" t="s">
        <v>504</v>
      </c>
      <c r="E125" s="749"/>
      <c r="F125" s="749"/>
      <c r="G125" s="749"/>
    </row>
    <row r="126" spans="1:7" s="605" customFormat="1" ht="16.5" customHeight="1">
      <c r="A126" s="749"/>
      <c r="B126" s="749" t="s">
        <v>37</v>
      </c>
      <c r="C126" s="749" t="s">
        <v>38</v>
      </c>
      <c r="D126" s="832" t="s">
        <v>39</v>
      </c>
      <c r="E126" s="46"/>
      <c r="F126" s="832" t="s">
        <v>38</v>
      </c>
      <c r="G126" s="46"/>
    </row>
    <row r="127" spans="1:7" s="605" customFormat="1" ht="16.5" customHeight="1" thickBot="1">
      <c r="A127" s="833"/>
      <c r="B127" s="833"/>
      <c r="C127" s="833"/>
      <c r="D127" s="833"/>
      <c r="E127" s="47" t="s">
        <v>42</v>
      </c>
      <c r="F127" s="833"/>
      <c r="G127" s="47" t="s">
        <v>42</v>
      </c>
    </row>
    <row r="128" spans="1:7" s="605" customFormat="1" ht="19.5" customHeight="1" thickTop="1">
      <c r="A128" s="611" t="s">
        <v>43</v>
      </c>
      <c r="B128" s="613">
        <f>국가별수출!AD168-국가별수출!AD128</f>
        <v>94993</v>
      </c>
      <c r="C128" s="613">
        <f>국가별수출!AE168-국가별수출!AE128</f>
        <v>302360</v>
      </c>
      <c r="D128" s="613">
        <f>국가별수출!AF168-국가별수출!AF128</f>
        <v>83195</v>
      </c>
      <c r="E128" s="37">
        <f>ROUND(((D128/B128-1)*100),1)</f>
        <v>-12.4</v>
      </c>
      <c r="F128" s="613">
        <f>국가별수출!AH168-국가별수출!AH128</f>
        <v>464620</v>
      </c>
      <c r="G128" s="37">
        <f>ROUND(((F128/C128-1)*100),1)</f>
        <v>53.7</v>
      </c>
    </row>
    <row r="129" spans="1:7" s="605" customFormat="1" ht="19.5" customHeight="1">
      <c r="A129" s="611" t="s">
        <v>44</v>
      </c>
      <c r="B129" s="613">
        <f>국가별수출!AD169-국가별수출!AD129</f>
        <v>28394</v>
      </c>
      <c r="C129" s="613">
        <f>국가별수출!AE169-국가별수출!AE129</f>
        <v>85826</v>
      </c>
      <c r="D129" s="613">
        <f>국가별수출!AF169-국가별수출!AF129</f>
        <v>42448</v>
      </c>
      <c r="E129" s="37">
        <f t="shared" ref="E129:E159" si="8">ROUND(((D129/B129-1)*100),1)</f>
        <v>49.5</v>
      </c>
      <c r="F129" s="613">
        <f>국가별수출!AH169-국가별수출!AH129</f>
        <v>167107</v>
      </c>
      <c r="G129" s="37">
        <f t="shared" ref="G129:G159" si="9">ROUND(((F129/C129-1)*100),1)</f>
        <v>94.7</v>
      </c>
    </row>
    <row r="130" spans="1:7" s="605" customFormat="1" ht="19.5" customHeight="1">
      <c r="A130" s="611" t="s">
        <v>46</v>
      </c>
      <c r="B130" s="613">
        <f>국가별수출!AD170-국가별수출!AD130</f>
        <v>9363</v>
      </c>
      <c r="C130" s="613">
        <f>국가별수출!AE170-국가별수출!AE130</f>
        <v>43800</v>
      </c>
      <c r="D130" s="613">
        <f>국가별수출!AF170-국가별수출!AF130</f>
        <v>15514</v>
      </c>
      <c r="E130" s="37">
        <f t="shared" si="8"/>
        <v>65.7</v>
      </c>
      <c r="F130" s="613">
        <f>국가별수출!AH170-국가별수출!AH130</f>
        <v>91597</v>
      </c>
      <c r="G130" s="37">
        <f t="shared" si="9"/>
        <v>109.1</v>
      </c>
    </row>
    <row r="131" spans="1:7" s="605" customFormat="1" ht="19.5" customHeight="1">
      <c r="A131" s="611" t="s">
        <v>45</v>
      </c>
      <c r="B131" s="613">
        <f>국가별수출!AD171-국가별수출!AD131</f>
        <v>3326</v>
      </c>
      <c r="C131" s="613">
        <f>국가별수출!AE171-국가별수출!AE131</f>
        <v>10246</v>
      </c>
      <c r="D131" s="613">
        <f>국가별수출!AF171-국가별수출!AF131</f>
        <v>21133</v>
      </c>
      <c r="E131" s="37">
        <f t="shared" si="8"/>
        <v>535.4</v>
      </c>
      <c r="F131" s="613">
        <f>국가별수출!AH171-국가별수출!AH131</f>
        <v>66073</v>
      </c>
      <c r="G131" s="37">
        <f t="shared" si="9"/>
        <v>544.9</v>
      </c>
    </row>
    <row r="132" spans="1:7" s="605" customFormat="1" ht="19.5" customHeight="1">
      <c r="A132" s="611" t="s">
        <v>48</v>
      </c>
      <c r="B132" s="613">
        <f>국가별수출!AD172-국가별수출!AD132</f>
        <v>7329</v>
      </c>
      <c r="C132" s="613">
        <f>국가별수출!AE172-국가별수출!AE132</f>
        <v>21219</v>
      </c>
      <c r="D132" s="613">
        <f>국가별수출!AF172-국가별수출!AF132</f>
        <v>10825</v>
      </c>
      <c r="E132" s="37">
        <f t="shared" si="8"/>
        <v>47.7</v>
      </c>
      <c r="F132" s="613">
        <f>국가별수출!AH172-국가별수출!AH132</f>
        <v>50060</v>
      </c>
      <c r="G132" s="37">
        <f t="shared" si="9"/>
        <v>135.9</v>
      </c>
    </row>
    <row r="133" spans="1:7" s="605" customFormat="1" ht="19.5" customHeight="1">
      <c r="A133" s="611" t="s">
        <v>49</v>
      </c>
      <c r="B133" s="613">
        <f>국가별수출!AD173-국가별수출!AD133</f>
        <v>6172</v>
      </c>
      <c r="C133" s="613">
        <f>국가별수출!AE173-국가별수출!AE133</f>
        <v>22640</v>
      </c>
      <c r="D133" s="613">
        <f>국가별수출!AF173-국가별수출!AF133</f>
        <v>11237</v>
      </c>
      <c r="E133" s="37">
        <f t="shared" si="8"/>
        <v>82.1</v>
      </c>
      <c r="F133" s="613">
        <f>국가별수출!AH173-국가별수출!AH133</f>
        <v>54235</v>
      </c>
      <c r="G133" s="37">
        <f t="shared" si="9"/>
        <v>139.6</v>
      </c>
    </row>
    <row r="134" spans="1:7" s="605" customFormat="1" ht="19.5" customHeight="1">
      <c r="A134" s="611" t="s">
        <v>47</v>
      </c>
      <c r="B134" s="613">
        <f>국가별수출!AD174-국가별수출!AD134</f>
        <v>6166</v>
      </c>
      <c r="C134" s="613">
        <f>국가별수출!AE174-국가별수출!AE134</f>
        <v>36052</v>
      </c>
      <c r="D134" s="613">
        <f>국가별수출!AF174-국가별수출!AF134</f>
        <v>9231</v>
      </c>
      <c r="E134" s="37">
        <f t="shared" si="8"/>
        <v>49.7</v>
      </c>
      <c r="F134" s="613">
        <f>국가별수출!AH174-국가별수출!AH134</f>
        <v>62784</v>
      </c>
      <c r="G134" s="37">
        <f t="shared" si="9"/>
        <v>74.099999999999994</v>
      </c>
    </row>
    <row r="135" spans="1:7" s="605" customFormat="1" ht="19.5" customHeight="1">
      <c r="A135" s="611" t="s">
        <v>50</v>
      </c>
      <c r="B135" s="613">
        <f>국가별수출!AD175-국가별수출!AD135</f>
        <v>6447</v>
      </c>
      <c r="C135" s="613">
        <f>국가별수출!AE175-국가별수출!AE135</f>
        <v>31207</v>
      </c>
      <c r="D135" s="613">
        <f>국가별수출!AF175-국가별수출!AF135</f>
        <v>14925</v>
      </c>
      <c r="E135" s="37">
        <f t="shared" si="8"/>
        <v>131.5</v>
      </c>
      <c r="F135" s="613">
        <f>국가별수출!AH175-국가별수출!AH135</f>
        <v>108724</v>
      </c>
      <c r="G135" s="37">
        <f t="shared" si="9"/>
        <v>248.4</v>
      </c>
    </row>
    <row r="136" spans="1:7" s="605" customFormat="1" ht="19.5" customHeight="1">
      <c r="A136" s="611" t="s">
        <v>51</v>
      </c>
      <c r="B136" s="613">
        <f>국가별수출!AD176-국가별수출!AD136</f>
        <v>3969</v>
      </c>
      <c r="C136" s="613">
        <f>국가별수출!AE176-국가별수출!AE136</f>
        <v>10937</v>
      </c>
      <c r="D136" s="613">
        <f>국가별수출!AF176-국가별수출!AF136</f>
        <v>8755</v>
      </c>
      <c r="E136" s="37">
        <f t="shared" si="8"/>
        <v>120.6</v>
      </c>
      <c r="F136" s="613">
        <f>국가별수출!AH176-국가별수출!AH136</f>
        <v>33472</v>
      </c>
      <c r="G136" s="37">
        <f t="shared" si="9"/>
        <v>206</v>
      </c>
    </row>
    <row r="137" spans="1:7" s="605" customFormat="1" ht="19.5" customHeight="1">
      <c r="A137" s="611" t="s">
        <v>54</v>
      </c>
      <c r="B137" s="613">
        <f>국가별수출!AD177-국가별수출!AD137</f>
        <v>6997</v>
      </c>
      <c r="C137" s="613">
        <f>국가별수출!AE177-국가별수출!AE137</f>
        <v>21444</v>
      </c>
      <c r="D137" s="613">
        <f>국가별수출!AF177-국가별수출!AF137</f>
        <v>6157</v>
      </c>
      <c r="E137" s="37">
        <f t="shared" si="8"/>
        <v>-12</v>
      </c>
      <c r="F137" s="613">
        <f>국가별수출!AH177-국가별수출!AH137</f>
        <v>27475</v>
      </c>
      <c r="G137" s="37">
        <f t="shared" si="9"/>
        <v>28.1</v>
      </c>
    </row>
    <row r="138" spans="1:7" s="605" customFormat="1" ht="19.5" customHeight="1">
      <c r="A138" s="611" t="s">
        <v>58</v>
      </c>
      <c r="B138" s="613">
        <f>국가별수출!AD178-국가별수출!AD138</f>
        <v>3841</v>
      </c>
      <c r="C138" s="613">
        <f>국가별수출!AE178-국가별수출!AE138</f>
        <v>9722</v>
      </c>
      <c r="D138" s="613">
        <f>국가별수출!AF178-국가별수출!AF138</f>
        <v>5107</v>
      </c>
      <c r="E138" s="37">
        <f t="shared" si="8"/>
        <v>33</v>
      </c>
      <c r="F138" s="613">
        <f>국가별수출!AH178-국가별수출!AH138</f>
        <v>19441</v>
      </c>
      <c r="G138" s="37">
        <f t="shared" si="9"/>
        <v>100</v>
      </c>
    </row>
    <row r="139" spans="1:7" s="605" customFormat="1" ht="19.5" customHeight="1">
      <c r="A139" s="611" t="s">
        <v>52</v>
      </c>
      <c r="B139" s="613">
        <f>국가별수출!AD179-국가별수출!AD139</f>
        <v>1011</v>
      </c>
      <c r="C139" s="613">
        <f>국가별수출!AE179-국가별수출!AE139</f>
        <v>6486</v>
      </c>
      <c r="D139" s="613">
        <f>국가별수출!AF179-국가별수출!AF139</f>
        <v>4401</v>
      </c>
      <c r="E139" s="37">
        <f t="shared" si="8"/>
        <v>335.3</v>
      </c>
      <c r="F139" s="613">
        <f>국가별수출!AH179-국가별수출!AH139</f>
        <v>37317</v>
      </c>
      <c r="G139" s="37">
        <f t="shared" si="9"/>
        <v>475.3</v>
      </c>
    </row>
    <row r="140" spans="1:7" s="605" customFormat="1" ht="19.5" customHeight="1">
      <c r="A140" s="611" t="s">
        <v>56</v>
      </c>
      <c r="B140" s="613">
        <f>국가별수출!AD180-국가별수출!AD140</f>
        <v>4042</v>
      </c>
      <c r="C140" s="613">
        <f>국가별수출!AE180-국가별수출!AE140</f>
        <v>8239</v>
      </c>
      <c r="D140" s="613">
        <f>국가별수출!AF180-국가별수출!AF140</f>
        <v>526</v>
      </c>
      <c r="E140" s="37">
        <f t="shared" si="8"/>
        <v>-87</v>
      </c>
      <c r="F140" s="613">
        <f>국가별수출!AH180-국가별수출!AH140</f>
        <v>3256</v>
      </c>
      <c r="G140" s="37">
        <f t="shared" si="9"/>
        <v>-60.5</v>
      </c>
    </row>
    <row r="141" spans="1:7" s="605" customFormat="1" ht="19.5" customHeight="1">
      <c r="A141" s="611" t="s">
        <v>53</v>
      </c>
      <c r="B141" s="613">
        <f>국가별수출!AD181-국가별수출!AD141</f>
        <v>2455</v>
      </c>
      <c r="C141" s="613">
        <f>국가별수출!AE181-국가별수출!AE141</f>
        <v>10229</v>
      </c>
      <c r="D141" s="613">
        <f>국가별수출!AF181-국가별수출!AF141</f>
        <v>4518</v>
      </c>
      <c r="E141" s="37">
        <f t="shared" si="8"/>
        <v>84</v>
      </c>
      <c r="F141" s="613">
        <f>국가별수출!AH181-국가별수출!AH141</f>
        <v>23369</v>
      </c>
      <c r="G141" s="37">
        <f t="shared" si="9"/>
        <v>128.5</v>
      </c>
    </row>
    <row r="142" spans="1:7" s="605" customFormat="1" ht="19.5" customHeight="1">
      <c r="A142" s="611" t="s">
        <v>57</v>
      </c>
      <c r="B142" s="613">
        <f>국가별수출!AD182-국가별수출!AD142</f>
        <v>3328</v>
      </c>
      <c r="C142" s="613">
        <f>국가별수출!AE182-국가별수출!AE142</f>
        <v>8639</v>
      </c>
      <c r="D142" s="613">
        <f>국가별수출!AF182-국가별수출!AF142</f>
        <v>2442</v>
      </c>
      <c r="E142" s="37">
        <f t="shared" si="8"/>
        <v>-26.6</v>
      </c>
      <c r="F142" s="613">
        <f>국가별수출!AH182-국가별수출!AH142</f>
        <v>9352</v>
      </c>
      <c r="G142" s="37">
        <f t="shared" si="9"/>
        <v>8.3000000000000007</v>
      </c>
    </row>
    <row r="143" spans="1:7" s="605" customFormat="1" ht="19.5" customHeight="1">
      <c r="A143" s="611" t="s">
        <v>70</v>
      </c>
      <c r="B143" s="613">
        <f>국가별수출!AD183-국가별수출!AD143</f>
        <v>3703</v>
      </c>
      <c r="C143" s="613">
        <f>국가별수출!AE183-국가별수출!AE143</f>
        <v>8161</v>
      </c>
      <c r="D143" s="613">
        <f>국가별수출!AF183-국가별수출!AF143</f>
        <v>3972</v>
      </c>
      <c r="E143" s="37">
        <f t="shared" si="8"/>
        <v>7.3</v>
      </c>
      <c r="F143" s="613">
        <f>국가별수출!AH183-국가별수출!AH143</f>
        <v>13098</v>
      </c>
      <c r="G143" s="37">
        <f t="shared" si="9"/>
        <v>60.5</v>
      </c>
    </row>
    <row r="144" spans="1:7" s="605" customFormat="1" ht="19.5" customHeight="1">
      <c r="A144" s="611" t="s">
        <v>68</v>
      </c>
      <c r="B144" s="613">
        <f>국가별수출!AD184-국가별수출!AD144</f>
        <v>2256</v>
      </c>
      <c r="C144" s="613">
        <f>국가별수출!AE184-국가별수출!AE144</f>
        <v>6037</v>
      </c>
      <c r="D144" s="613">
        <f>국가별수출!AF184-국가별수출!AF144</f>
        <v>3337</v>
      </c>
      <c r="E144" s="37">
        <f t="shared" si="8"/>
        <v>47.9</v>
      </c>
      <c r="F144" s="613">
        <f>국가별수출!AH184-국가별수출!AH144</f>
        <v>11825</v>
      </c>
      <c r="G144" s="37">
        <f t="shared" si="9"/>
        <v>95.9</v>
      </c>
    </row>
    <row r="145" spans="1:7" s="605" customFormat="1" ht="19.5" customHeight="1">
      <c r="A145" s="611" t="s">
        <v>60</v>
      </c>
      <c r="B145" s="613">
        <f>국가별수출!AD185-국가별수출!AD145</f>
        <v>1332</v>
      </c>
      <c r="C145" s="613">
        <f>국가별수출!AE185-국가별수출!AE145</f>
        <v>2869</v>
      </c>
      <c r="D145" s="613">
        <f>국가별수출!AF185-국가별수출!AF145</f>
        <v>268</v>
      </c>
      <c r="E145" s="37">
        <f t="shared" si="8"/>
        <v>-79.900000000000006</v>
      </c>
      <c r="F145" s="613">
        <f>국가별수출!AH185-국가별수출!AH145</f>
        <v>842</v>
      </c>
      <c r="G145" s="37">
        <f t="shared" si="9"/>
        <v>-70.7</v>
      </c>
    </row>
    <row r="146" spans="1:7" s="605" customFormat="1" ht="19.5" customHeight="1">
      <c r="A146" s="611" t="s">
        <v>55</v>
      </c>
      <c r="B146" s="613">
        <f>국가별수출!AD186-국가별수출!AD146</f>
        <v>1808</v>
      </c>
      <c r="C146" s="613">
        <f>국가별수출!AE186-국가별수출!AE146</f>
        <v>5134</v>
      </c>
      <c r="D146" s="613">
        <f>국가별수출!AF186-국가별수출!AF146</f>
        <v>1447</v>
      </c>
      <c r="E146" s="37">
        <f t="shared" si="8"/>
        <v>-20</v>
      </c>
      <c r="F146" s="613">
        <f>국가별수출!AH186-국가별수출!AH146</f>
        <v>4611</v>
      </c>
      <c r="G146" s="37">
        <f t="shared" si="9"/>
        <v>-10.199999999999999</v>
      </c>
    </row>
    <row r="147" spans="1:7" s="605" customFormat="1" ht="19.5" customHeight="1">
      <c r="A147" s="611" t="s">
        <v>421</v>
      </c>
      <c r="B147" s="613">
        <f>국가별수출!AD187-국가별수출!AD147</f>
        <v>1173</v>
      </c>
      <c r="C147" s="613">
        <f>국가별수출!AE187-국가별수출!AE147</f>
        <v>10764</v>
      </c>
      <c r="D147" s="613">
        <f>국가별수출!AF187-국가별수출!AF147</f>
        <v>2632</v>
      </c>
      <c r="E147" s="37">
        <f t="shared" si="8"/>
        <v>124.4</v>
      </c>
      <c r="F147" s="613">
        <f>국가별수출!AH187-국가별수출!AH147</f>
        <v>31487</v>
      </c>
      <c r="G147" s="37">
        <f t="shared" si="9"/>
        <v>192.5</v>
      </c>
    </row>
    <row r="148" spans="1:7" s="605" customFormat="1" ht="19.5" customHeight="1">
      <c r="A148" s="611" t="s">
        <v>422</v>
      </c>
      <c r="B148" s="613">
        <f>국가별수출!AD188-국가별수출!AD148</f>
        <v>1210</v>
      </c>
      <c r="C148" s="613">
        <f>국가별수출!AE188-국가별수출!AE148</f>
        <v>10860</v>
      </c>
      <c r="D148" s="613">
        <f>국가별수출!AF188-국가별수출!AF148</f>
        <v>1219</v>
      </c>
      <c r="E148" s="37">
        <f t="shared" si="8"/>
        <v>0.7</v>
      </c>
      <c r="F148" s="613">
        <f>국가별수출!AH188-국가별수출!AH148</f>
        <v>12115</v>
      </c>
      <c r="G148" s="37">
        <f t="shared" si="9"/>
        <v>11.6</v>
      </c>
    </row>
    <row r="149" spans="1:7" s="605" customFormat="1" ht="19.5" customHeight="1">
      <c r="A149" s="611" t="s">
        <v>63</v>
      </c>
      <c r="B149" s="613">
        <f>국가별수출!AD189-국가별수출!AD149</f>
        <v>677</v>
      </c>
      <c r="C149" s="613">
        <f>국가별수출!AE189-국가별수출!AE149</f>
        <v>1561</v>
      </c>
      <c r="D149" s="613">
        <f>국가별수출!AF189-국가별수출!AF149</f>
        <v>575</v>
      </c>
      <c r="E149" s="37">
        <f t="shared" si="8"/>
        <v>-15.1</v>
      </c>
      <c r="F149" s="613">
        <f>국가별수출!AH189-국가별수출!AH149</f>
        <v>1691</v>
      </c>
      <c r="G149" s="37">
        <f t="shared" si="9"/>
        <v>8.3000000000000007</v>
      </c>
    </row>
    <row r="150" spans="1:7" s="605" customFormat="1" ht="19.5" customHeight="1">
      <c r="A150" s="611" t="s">
        <v>67</v>
      </c>
      <c r="B150" s="613">
        <f>국가별수출!AD190-국가별수출!AD150</f>
        <v>547</v>
      </c>
      <c r="C150" s="613">
        <f>국가별수출!AE190-국가별수출!AE150</f>
        <v>1418</v>
      </c>
      <c r="D150" s="613">
        <f>국가별수출!AF190-국가별수출!AF150</f>
        <v>581</v>
      </c>
      <c r="E150" s="37">
        <f t="shared" si="8"/>
        <v>6.2</v>
      </c>
      <c r="F150" s="613">
        <f>국가별수출!AH190-국가별수출!AH150</f>
        <v>3016</v>
      </c>
      <c r="G150" s="37">
        <f t="shared" si="9"/>
        <v>112.7</v>
      </c>
    </row>
    <row r="151" spans="1:7" s="605" customFormat="1" ht="19.5" customHeight="1">
      <c r="A151" s="611" t="s">
        <v>77</v>
      </c>
      <c r="B151" s="613">
        <f>국가별수출!AD191-국가별수출!AD151</f>
        <v>693</v>
      </c>
      <c r="C151" s="613">
        <f>국가별수출!AE191-국가별수출!AE151</f>
        <v>1781</v>
      </c>
      <c r="D151" s="613">
        <f>국가별수출!AF191-국가별수출!AF151</f>
        <v>1714</v>
      </c>
      <c r="E151" s="37">
        <f t="shared" si="8"/>
        <v>147.30000000000001</v>
      </c>
      <c r="F151" s="613">
        <f>국가별수출!AH191-국가별수출!AH151</f>
        <v>5899</v>
      </c>
      <c r="G151" s="37">
        <f t="shared" si="9"/>
        <v>231.2</v>
      </c>
    </row>
    <row r="152" spans="1:7" s="605" customFormat="1" ht="19.5" customHeight="1">
      <c r="A152" s="610" t="s">
        <v>510</v>
      </c>
      <c r="B152" s="613">
        <f>국가별수출!AD192-국가별수출!AD152</f>
        <v>871</v>
      </c>
      <c r="C152" s="613">
        <f>국가별수출!AE192-국가별수출!AE152</f>
        <v>1744</v>
      </c>
      <c r="D152" s="613">
        <f>국가별수출!AF192-국가별수출!AF152</f>
        <v>1062</v>
      </c>
      <c r="E152" s="37">
        <f t="shared" si="8"/>
        <v>21.9</v>
      </c>
      <c r="F152" s="613">
        <f>국가별수출!AH192-국가별수출!AH152</f>
        <v>3109</v>
      </c>
      <c r="G152" s="37">
        <f t="shared" si="9"/>
        <v>78.3</v>
      </c>
    </row>
    <row r="153" spans="1:7" s="605" customFormat="1" ht="19.5" customHeight="1">
      <c r="A153" s="611" t="s">
        <v>81</v>
      </c>
      <c r="B153" s="613">
        <f>국가별수출!AD193-국가별수출!AD153</f>
        <v>976</v>
      </c>
      <c r="C153" s="613">
        <f>국가별수출!AE193-국가별수출!AE153</f>
        <v>1959</v>
      </c>
      <c r="D153" s="613">
        <f>국가별수출!AF193-국가별수출!AF153</f>
        <v>3031</v>
      </c>
      <c r="E153" s="37">
        <f t="shared" si="8"/>
        <v>210.6</v>
      </c>
      <c r="F153" s="613">
        <f>국가별수출!AH193-국가별수출!AH153</f>
        <v>8785</v>
      </c>
      <c r="G153" s="37">
        <f t="shared" si="9"/>
        <v>348.4</v>
      </c>
    </row>
    <row r="154" spans="1:7" s="605" customFormat="1" ht="19.5" customHeight="1">
      <c r="A154" s="610" t="s">
        <v>59</v>
      </c>
      <c r="B154" s="613">
        <f>국가별수출!AD194-국가별수출!AD154</f>
        <v>555</v>
      </c>
      <c r="C154" s="613">
        <f>국가별수출!AE194-국가별수출!AE154</f>
        <v>2755</v>
      </c>
      <c r="D154" s="613">
        <f>국가별수출!AF194-국가별수출!AF154</f>
        <v>896</v>
      </c>
      <c r="E154" s="37">
        <f t="shared" si="8"/>
        <v>61.4</v>
      </c>
      <c r="F154" s="613">
        <f>국가별수출!AH194-국가별수출!AH154</f>
        <v>5398</v>
      </c>
      <c r="G154" s="37">
        <f t="shared" si="9"/>
        <v>95.9</v>
      </c>
    </row>
    <row r="155" spans="1:7" s="605" customFormat="1" ht="19.5" customHeight="1">
      <c r="A155" s="610" t="s">
        <v>506</v>
      </c>
      <c r="B155" s="613">
        <f>국가별수출!AD195-국가별수출!AD155</f>
        <v>422</v>
      </c>
      <c r="C155" s="613">
        <f>국가별수출!AE195-국가별수출!AE155</f>
        <v>1082</v>
      </c>
      <c r="D155" s="613">
        <f>국가별수출!AF195-국가별수출!AF155</f>
        <v>50</v>
      </c>
      <c r="E155" s="37">
        <f t="shared" si="8"/>
        <v>-88.2</v>
      </c>
      <c r="F155" s="613">
        <f>국가별수출!AH195-국가별수출!AH155</f>
        <v>558</v>
      </c>
      <c r="G155" s="37">
        <f t="shared" si="9"/>
        <v>-48.4</v>
      </c>
    </row>
    <row r="156" spans="1:7" s="605" customFormat="1" ht="19.5" customHeight="1">
      <c r="A156" s="611" t="s">
        <v>83</v>
      </c>
      <c r="B156" s="613">
        <f>국가별수출!AD196-국가별수출!AD156</f>
        <v>775</v>
      </c>
      <c r="C156" s="613">
        <f>국가별수출!AE196-국가별수출!AE156</f>
        <v>2496</v>
      </c>
      <c r="D156" s="613">
        <f>국가별수출!AF196-국가별수출!AF156</f>
        <v>437</v>
      </c>
      <c r="E156" s="37">
        <f t="shared" si="8"/>
        <v>-43.6</v>
      </c>
      <c r="F156" s="613">
        <f>국가별수출!AH196-국가별수출!AH156</f>
        <v>2513</v>
      </c>
      <c r="G156" s="37">
        <f t="shared" si="9"/>
        <v>0.7</v>
      </c>
    </row>
    <row r="157" spans="1:7" s="605" customFormat="1" ht="19.5" customHeight="1">
      <c r="A157" s="611" t="s">
        <v>511</v>
      </c>
      <c r="B157" s="613">
        <f>국가별수출!AD197-국가별수출!AD157</f>
        <v>371</v>
      </c>
      <c r="C157" s="613">
        <f>국가별수출!AE197-국가별수출!AE157</f>
        <v>670</v>
      </c>
      <c r="D157" s="613">
        <f>국가별수출!AF197-국가별수출!AF157</f>
        <v>370</v>
      </c>
      <c r="E157" s="37">
        <f t="shared" si="8"/>
        <v>-0.3</v>
      </c>
      <c r="F157" s="613">
        <f>국가별수출!AH197-국가별수출!AH157</f>
        <v>1032</v>
      </c>
      <c r="G157" s="37">
        <f t="shared" si="9"/>
        <v>54</v>
      </c>
    </row>
    <row r="158" spans="1:7" s="605" customFormat="1" ht="19.5" customHeight="1">
      <c r="A158" s="52" t="s">
        <v>18</v>
      </c>
      <c r="B158" s="33">
        <f>B159-SUM(B128:B157)</f>
        <v>5707</v>
      </c>
      <c r="C158" s="33">
        <f>C159-SUM(C128:C157)</f>
        <v>27256</v>
      </c>
      <c r="D158" s="33">
        <f>D159-SUM(D128:D157)</f>
        <v>6739</v>
      </c>
      <c r="E158" s="37">
        <f t="shared" si="8"/>
        <v>18.100000000000001</v>
      </c>
      <c r="F158" s="33">
        <f>F159-SUM(F128:F157)</f>
        <v>42999</v>
      </c>
      <c r="G158" s="38">
        <f t="shared" si="9"/>
        <v>57.8</v>
      </c>
    </row>
    <row r="159" spans="1:7" s="605" customFormat="1" ht="19.5" customHeight="1">
      <c r="A159" s="55" t="s">
        <v>72</v>
      </c>
      <c r="B159" s="382">
        <f>국가별수출!AD199-국가별수출!AD159</f>
        <v>210909</v>
      </c>
      <c r="C159" s="382">
        <f>국가별수출!AE199-국가별수출!AE159</f>
        <v>715593</v>
      </c>
      <c r="D159" s="382">
        <f>국가별수출!AF199-국가별수출!AF159</f>
        <v>268744</v>
      </c>
      <c r="E159" s="220">
        <f t="shared" si="8"/>
        <v>27.4</v>
      </c>
      <c r="F159" s="382">
        <f>국가별수출!AH199-국가별수출!AH159</f>
        <v>1367860</v>
      </c>
      <c r="G159" s="220">
        <f t="shared" si="9"/>
        <v>91.2</v>
      </c>
    </row>
    <row r="160" spans="1:7" s="605" customFormat="1">
      <c r="A160" s="43"/>
      <c r="B160" s="612"/>
      <c r="C160" s="612"/>
      <c r="D160" s="612"/>
      <c r="E160" s="45"/>
      <c r="F160" s="612"/>
      <c r="G160" s="45"/>
    </row>
    <row r="161" spans="1:7" s="605" customFormat="1">
      <c r="A161" s="43"/>
      <c r="B161" s="612"/>
      <c r="C161" s="612"/>
      <c r="D161" s="612"/>
      <c r="E161" s="45"/>
      <c r="F161" s="612"/>
      <c r="G161" s="45"/>
    </row>
  </sheetData>
  <mergeCells count="40">
    <mergeCell ref="A81:G81"/>
    <mergeCell ref="F83:G83"/>
    <mergeCell ref="A84:A87"/>
    <mergeCell ref="B84:G84"/>
    <mergeCell ref="B85:C85"/>
    <mergeCell ref="D85:G85"/>
    <mergeCell ref="B86:B87"/>
    <mergeCell ref="C86:C87"/>
    <mergeCell ref="D86:D87"/>
    <mergeCell ref="F86:F87"/>
    <mergeCell ref="A1:G1"/>
    <mergeCell ref="F3:G3"/>
    <mergeCell ref="A4:A7"/>
    <mergeCell ref="B4:G4"/>
    <mergeCell ref="B5:C5"/>
    <mergeCell ref="D5:G5"/>
    <mergeCell ref="B6:B7"/>
    <mergeCell ref="C6:C7"/>
    <mergeCell ref="D6:D7"/>
    <mergeCell ref="F6:F7"/>
    <mergeCell ref="A41:G41"/>
    <mergeCell ref="F43:G43"/>
    <mergeCell ref="A44:A47"/>
    <mergeCell ref="B44:G44"/>
    <mergeCell ref="B45:C45"/>
    <mergeCell ref="D45:G45"/>
    <mergeCell ref="B46:B47"/>
    <mergeCell ref="C46:C47"/>
    <mergeCell ref="D46:D47"/>
    <mergeCell ref="F46:F47"/>
    <mergeCell ref="F123:G123"/>
    <mergeCell ref="A121:G121"/>
    <mergeCell ref="F126:F127"/>
    <mergeCell ref="D126:D127"/>
    <mergeCell ref="C126:C127"/>
    <mergeCell ref="B126:B127"/>
    <mergeCell ref="A124:A127"/>
    <mergeCell ref="D125:G125"/>
    <mergeCell ref="B125:C125"/>
    <mergeCell ref="B124:G124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01"/>
  <sheetViews>
    <sheetView topLeftCell="A161" zoomScaleNormal="100" workbookViewId="0">
      <selection activeCell="A161" sqref="A161:AI161"/>
    </sheetView>
  </sheetViews>
  <sheetFormatPr defaultRowHeight="16.5"/>
  <cols>
    <col min="1" max="1" width="22.625" style="20" customWidth="1"/>
    <col min="2" max="2" width="12.625" style="20" hidden="1" customWidth="1"/>
    <col min="3" max="4" width="12.625" style="21" hidden="1" customWidth="1"/>
    <col min="5" max="5" width="12.625" style="20" hidden="1" customWidth="1"/>
    <col min="6" max="6" width="12.625" style="21" hidden="1" customWidth="1"/>
    <col min="7" max="7" width="12.625" style="20" hidden="1" customWidth="1"/>
    <col min="8" max="17" width="12.625" style="21" hidden="1" customWidth="1"/>
    <col min="18" max="19" width="12.625" style="22" hidden="1" customWidth="1"/>
    <col min="20" max="29" width="12.625" style="21" hidden="1" customWidth="1"/>
    <col min="30" max="32" width="12.625" style="21" customWidth="1"/>
    <col min="33" max="33" width="8.625" style="21" customWidth="1"/>
    <col min="34" max="34" width="12.625" style="21" customWidth="1"/>
    <col min="35" max="35" width="8.625" style="21" customWidth="1"/>
    <col min="36" max="16384" width="9" style="277"/>
  </cols>
  <sheetData>
    <row r="1" spans="1:35" ht="22.5" hidden="1" customHeight="1">
      <c r="A1" s="736" t="s">
        <v>507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</row>
    <row r="2" spans="1:35" ht="16.5" hidden="1" customHeight="1">
      <c r="B2" s="21"/>
      <c r="E2" s="21"/>
    </row>
    <row r="3" spans="1:35" ht="16.5" hidden="1" customHeight="1">
      <c r="A3" s="23"/>
      <c r="B3" s="24"/>
      <c r="C3" s="24"/>
      <c r="D3" s="24"/>
      <c r="E3" s="24"/>
      <c r="F3" s="24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 t="s">
        <v>0</v>
      </c>
    </row>
    <row r="4" spans="1:35" ht="21.75" hidden="1" customHeight="1">
      <c r="A4" s="758" t="s">
        <v>36</v>
      </c>
      <c r="B4" s="765" t="s">
        <v>423</v>
      </c>
      <c r="C4" s="766"/>
      <c r="D4" s="766"/>
      <c r="E4" s="767"/>
      <c r="F4" s="765" t="s">
        <v>424</v>
      </c>
      <c r="G4" s="766"/>
      <c r="H4" s="766"/>
      <c r="I4" s="767"/>
      <c r="J4" s="765" t="s">
        <v>425</v>
      </c>
      <c r="K4" s="766"/>
      <c r="L4" s="766"/>
      <c r="M4" s="767"/>
      <c r="N4" s="765" t="s">
        <v>426</v>
      </c>
      <c r="O4" s="766"/>
      <c r="P4" s="766"/>
      <c r="Q4" s="767"/>
      <c r="R4" s="765" t="s">
        <v>427</v>
      </c>
      <c r="S4" s="766"/>
      <c r="T4" s="766"/>
      <c r="U4" s="767"/>
      <c r="V4" s="765" t="s">
        <v>428</v>
      </c>
      <c r="W4" s="766"/>
      <c r="X4" s="766"/>
      <c r="Y4" s="767"/>
      <c r="Z4" s="765" t="s">
        <v>429</v>
      </c>
      <c r="AA4" s="766"/>
      <c r="AB4" s="766"/>
      <c r="AC4" s="767"/>
      <c r="AD4" s="765" t="s">
        <v>430</v>
      </c>
      <c r="AE4" s="766"/>
      <c r="AF4" s="766"/>
      <c r="AG4" s="766"/>
      <c r="AH4" s="766"/>
      <c r="AI4" s="767"/>
    </row>
    <row r="5" spans="1:35" ht="21" hidden="1" customHeight="1">
      <c r="A5" s="836"/>
      <c r="B5" s="765" t="s">
        <v>431</v>
      </c>
      <c r="C5" s="767"/>
      <c r="D5" s="765" t="s">
        <v>503</v>
      </c>
      <c r="E5" s="767"/>
      <c r="F5" s="765" t="s">
        <v>431</v>
      </c>
      <c r="G5" s="767"/>
      <c r="H5" s="765" t="s">
        <v>503</v>
      </c>
      <c r="I5" s="767"/>
      <c r="J5" s="765" t="s">
        <v>431</v>
      </c>
      <c r="K5" s="767"/>
      <c r="L5" s="765" t="s">
        <v>503</v>
      </c>
      <c r="M5" s="767"/>
      <c r="N5" s="765" t="s">
        <v>431</v>
      </c>
      <c r="O5" s="767"/>
      <c r="P5" s="765" t="s">
        <v>503</v>
      </c>
      <c r="Q5" s="767"/>
      <c r="R5" s="765" t="s">
        <v>431</v>
      </c>
      <c r="S5" s="767"/>
      <c r="T5" s="765" t="s">
        <v>503</v>
      </c>
      <c r="U5" s="767"/>
      <c r="V5" s="765" t="s">
        <v>431</v>
      </c>
      <c r="W5" s="767"/>
      <c r="X5" s="765" t="s">
        <v>503</v>
      </c>
      <c r="Y5" s="767"/>
      <c r="Z5" s="765" t="s">
        <v>431</v>
      </c>
      <c r="AA5" s="767"/>
      <c r="AB5" s="765" t="s">
        <v>503</v>
      </c>
      <c r="AC5" s="767"/>
      <c r="AD5" s="765" t="s">
        <v>431</v>
      </c>
      <c r="AE5" s="767"/>
      <c r="AF5" s="765" t="s">
        <v>503</v>
      </c>
      <c r="AG5" s="766"/>
      <c r="AH5" s="766"/>
      <c r="AI5" s="767"/>
    </row>
    <row r="6" spans="1:35" hidden="1">
      <c r="A6" s="836"/>
      <c r="B6" s="758" t="s">
        <v>37</v>
      </c>
      <c r="C6" s="758" t="s">
        <v>38</v>
      </c>
      <c r="D6" s="758" t="s">
        <v>39</v>
      </c>
      <c r="E6" s="758" t="s">
        <v>38</v>
      </c>
      <c r="F6" s="758" t="s">
        <v>40</v>
      </c>
      <c r="G6" s="758" t="s">
        <v>38</v>
      </c>
      <c r="H6" s="758" t="s">
        <v>39</v>
      </c>
      <c r="I6" s="758" t="s">
        <v>38</v>
      </c>
      <c r="J6" s="758" t="s">
        <v>37</v>
      </c>
      <c r="K6" s="758" t="s">
        <v>38</v>
      </c>
      <c r="L6" s="758" t="s">
        <v>39</v>
      </c>
      <c r="M6" s="758" t="s">
        <v>38</v>
      </c>
      <c r="N6" s="758" t="s">
        <v>37</v>
      </c>
      <c r="O6" s="758" t="s">
        <v>38</v>
      </c>
      <c r="P6" s="758" t="s">
        <v>39</v>
      </c>
      <c r="Q6" s="758" t="s">
        <v>38</v>
      </c>
      <c r="R6" s="758" t="s">
        <v>37</v>
      </c>
      <c r="S6" s="758" t="s">
        <v>38</v>
      </c>
      <c r="T6" s="758" t="s">
        <v>39</v>
      </c>
      <c r="U6" s="758" t="s">
        <v>38</v>
      </c>
      <c r="V6" s="758" t="s">
        <v>37</v>
      </c>
      <c r="W6" s="758" t="s">
        <v>38</v>
      </c>
      <c r="X6" s="758" t="s">
        <v>41</v>
      </c>
      <c r="Y6" s="758" t="s">
        <v>38</v>
      </c>
      <c r="Z6" s="758" t="s">
        <v>37</v>
      </c>
      <c r="AA6" s="758" t="s">
        <v>38</v>
      </c>
      <c r="AB6" s="758" t="s">
        <v>39</v>
      </c>
      <c r="AC6" s="758" t="s">
        <v>38</v>
      </c>
      <c r="AD6" s="758" t="s">
        <v>37</v>
      </c>
      <c r="AE6" s="758" t="s">
        <v>38</v>
      </c>
      <c r="AF6" s="772" t="s">
        <v>39</v>
      </c>
      <c r="AG6" s="27"/>
      <c r="AH6" s="772" t="s">
        <v>38</v>
      </c>
      <c r="AI6" s="27"/>
    </row>
    <row r="7" spans="1:35" ht="17.25" hidden="1" thickBot="1">
      <c r="A7" s="835"/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4"/>
      <c r="AG7" s="28" t="s">
        <v>42</v>
      </c>
      <c r="AH7" s="834"/>
      <c r="AI7" s="28" t="s">
        <v>42</v>
      </c>
    </row>
    <row r="8" spans="1:35" ht="19.5" hidden="1" customHeight="1" thickTop="1">
      <c r="A8" s="611" t="s">
        <v>43</v>
      </c>
      <c r="B8" s="608">
        <v>19642</v>
      </c>
      <c r="C8" s="608">
        <v>136044</v>
      </c>
      <c r="D8" s="608">
        <v>22657</v>
      </c>
      <c r="E8" s="608">
        <v>192205</v>
      </c>
      <c r="F8" s="608">
        <v>346</v>
      </c>
      <c r="G8" s="608">
        <v>2472</v>
      </c>
      <c r="H8" s="608">
        <v>356</v>
      </c>
      <c r="I8" s="608">
        <v>2799</v>
      </c>
      <c r="J8" s="608">
        <v>22277</v>
      </c>
      <c r="K8" s="608">
        <v>61269</v>
      </c>
      <c r="L8" s="608">
        <v>18200</v>
      </c>
      <c r="M8" s="608">
        <v>60968</v>
      </c>
      <c r="N8" s="608">
        <v>1139</v>
      </c>
      <c r="O8" s="608">
        <v>2684</v>
      </c>
      <c r="P8" s="608">
        <v>127</v>
      </c>
      <c r="Q8" s="608">
        <v>298</v>
      </c>
      <c r="R8" s="608">
        <v>2484</v>
      </c>
      <c r="S8" s="608">
        <v>6329</v>
      </c>
      <c r="T8" s="608">
        <v>4357</v>
      </c>
      <c r="U8" s="608">
        <v>12241</v>
      </c>
      <c r="V8" s="608">
        <v>17</v>
      </c>
      <c r="W8" s="608">
        <v>564</v>
      </c>
      <c r="X8" s="608">
        <v>35</v>
      </c>
      <c r="Y8" s="608">
        <v>1084</v>
      </c>
      <c r="Z8" s="608">
        <v>316</v>
      </c>
      <c r="AA8" s="608">
        <v>4680</v>
      </c>
      <c r="AB8" s="608">
        <v>88</v>
      </c>
      <c r="AC8" s="608">
        <v>7879</v>
      </c>
      <c r="AD8" s="32">
        <f t="shared" ref="AD8:AF37" si="0">SUM(B8+F8+J8+N8+R8+V8+Z8)</f>
        <v>46221</v>
      </c>
      <c r="AE8" s="32">
        <f>SUM(C8+G8+K8+O8+S8+W8+AA8)</f>
        <v>214042</v>
      </c>
      <c r="AF8" s="32">
        <f>SUM(D8+H8+L8+P8+T8+X8+AB8)</f>
        <v>45820</v>
      </c>
      <c r="AG8" s="37">
        <f>ROUND(((AF8/AD8-1)*100),1)</f>
        <v>-0.9</v>
      </c>
      <c r="AH8" s="32">
        <f>SUM(E8+I8+M8+Q8+U8+Y8+AC8)</f>
        <v>277474</v>
      </c>
      <c r="AI8" s="37">
        <f>ROUND(((AH8/AE8-1)*100),1)</f>
        <v>29.6</v>
      </c>
    </row>
    <row r="9" spans="1:35" ht="19.5" hidden="1" customHeight="1">
      <c r="A9" s="611" t="s">
        <v>44</v>
      </c>
      <c r="B9" s="608">
        <v>3606</v>
      </c>
      <c r="C9" s="608">
        <v>32438</v>
      </c>
      <c r="D9" s="608">
        <v>7238</v>
      </c>
      <c r="E9" s="608">
        <v>68205</v>
      </c>
      <c r="F9" s="608">
        <v>26</v>
      </c>
      <c r="G9" s="608">
        <v>749</v>
      </c>
      <c r="H9" s="608">
        <v>8</v>
      </c>
      <c r="I9" s="608">
        <v>303</v>
      </c>
      <c r="J9" s="608">
        <v>19158</v>
      </c>
      <c r="K9" s="608">
        <v>53303</v>
      </c>
      <c r="L9" s="608">
        <v>21995</v>
      </c>
      <c r="M9" s="608">
        <v>64899</v>
      </c>
      <c r="N9" s="608">
        <v>6594</v>
      </c>
      <c r="O9" s="608">
        <v>13905</v>
      </c>
      <c r="P9" s="608">
        <v>10413</v>
      </c>
      <c r="Q9" s="608">
        <v>22825</v>
      </c>
      <c r="R9" s="608">
        <v>6389</v>
      </c>
      <c r="S9" s="608">
        <v>15886</v>
      </c>
      <c r="T9" s="608">
        <v>7835</v>
      </c>
      <c r="U9" s="608">
        <v>23040</v>
      </c>
      <c r="V9" s="608">
        <v>18</v>
      </c>
      <c r="W9" s="608">
        <v>313</v>
      </c>
      <c r="X9" s="608">
        <v>29</v>
      </c>
      <c r="Y9" s="608">
        <v>588</v>
      </c>
      <c r="Z9" s="608">
        <v>6</v>
      </c>
      <c r="AA9" s="608">
        <v>412</v>
      </c>
      <c r="AB9" s="608">
        <v>7</v>
      </c>
      <c r="AC9" s="608">
        <v>381</v>
      </c>
      <c r="AD9" s="32">
        <f t="shared" si="0"/>
        <v>35797</v>
      </c>
      <c r="AE9" s="32">
        <f t="shared" si="0"/>
        <v>117006</v>
      </c>
      <c r="AF9" s="32">
        <f>SUM(D9+H9+L9+P9+T9+X9+AB9)</f>
        <v>47525</v>
      </c>
      <c r="AG9" s="37">
        <f t="shared" ref="AG9:AG39" si="1">ROUND(((AF9/AD9-1)*100),1)</f>
        <v>32.799999999999997</v>
      </c>
      <c r="AH9" s="32">
        <f t="shared" ref="AH9:AH37" si="2">SUM(E9+I9+M9+Q9+U9+Y9+AC9)</f>
        <v>180241</v>
      </c>
      <c r="AI9" s="37">
        <f t="shared" ref="AI9:AI39" si="3">ROUND(((AH9/AE9-1)*100),1)</f>
        <v>54</v>
      </c>
    </row>
    <row r="10" spans="1:35" ht="19.5" hidden="1" customHeight="1">
      <c r="A10" s="611" t="s">
        <v>46</v>
      </c>
      <c r="B10" s="608">
        <v>2529</v>
      </c>
      <c r="C10" s="608">
        <v>21715</v>
      </c>
      <c r="D10" s="608">
        <v>2837</v>
      </c>
      <c r="E10" s="608">
        <v>28763</v>
      </c>
      <c r="F10" s="608">
        <v>56</v>
      </c>
      <c r="G10" s="608">
        <v>630</v>
      </c>
      <c r="H10" s="608">
        <v>28</v>
      </c>
      <c r="I10" s="608">
        <v>415</v>
      </c>
      <c r="J10" s="608">
        <v>8019</v>
      </c>
      <c r="K10" s="608">
        <v>31826</v>
      </c>
      <c r="L10" s="608">
        <v>8300</v>
      </c>
      <c r="M10" s="608">
        <v>35524</v>
      </c>
      <c r="N10" s="608">
        <v>13050</v>
      </c>
      <c r="O10" s="608">
        <v>26716</v>
      </c>
      <c r="P10" s="608">
        <v>1519</v>
      </c>
      <c r="Q10" s="608">
        <v>3188</v>
      </c>
      <c r="R10" s="608">
        <v>5500</v>
      </c>
      <c r="S10" s="608">
        <v>11268</v>
      </c>
      <c r="T10" s="608">
        <v>2</v>
      </c>
      <c r="U10" s="608">
        <v>68</v>
      </c>
      <c r="V10" s="608">
        <v>1</v>
      </c>
      <c r="W10" s="608">
        <v>206</v>
      </c>
      <c r="X10" s="608">
        <v>1</v>
      </c>
      <c r="Y10" s="608">
        <v>47</v>
      </c>
      <c r="Z10" s="608">
        <v>307</v>
      </c>
      <c r="AA10" s="608">
        <v>3918</v>
      </c>
      <c r="AB10" s="608">
        <v>264</v>
      </c>
      <c r="AC10" s="608">
        <v>4524</v>
      </c>
      <c r="AD10" s="32">
        <f t="shared" si="0"/>
        <v>29462</v>
      </c>
      <c r="AE10" s="32">
        <f t="shared" si="0"/>
        <v>96279</v>
      </c>
      <c r="AF10" s="32">
        <f t="shared" si="0"/>
        <v>12951</v>
      </c>
      <c r="AG10" s="37">
        <f t="shared" si="1"/>
        <v>-56</v>
      </c>
      <c r="AH10" s="32">
        <f t="shared" si="2"/>
        <v>72529</v>
      </c>
      <c r="AI10" s="37">
        <f t="shared" si="3"/>
        <v>-24.7</v>
      </c>
    </row>
    <row r="11" spans="1:35" ht="19.5" hidden="1" customHeight="1">
      <c r="A11" s="611" t="s">
        <v>45</v>
      </c>
      <c r="B11" s="608">
        <v>772</v>
      </c>
      <c r="C11" s="608">
        <v>4802</v>
      </c>
      <c r="D11" s="608">
        <v>1283</v>
      </c>
      <c r="E11" s="608">
        <v>9544</v>
      </c>
      <c r="F11" s="608">
        <v>74</v>
      </c>
      <c r="G11" s="608">
        <v>1014</v>
      </c>
      <c r="H11" s="608">
        <v>71</v>
      </c>
      <c r="I11" s="608">
        <v>1304</v>
      </c>
      <c r="J11" s="608">
        <v>4359</v>
      </c>
      <c r="K11" s="608">
        <v>12456</v>
      </c>
      <c r="L11" s="608">
        <v>6756</v>
      </c>
      <c r="M11" s="608">
        <v>19600</v>
      </c>
      <c r="N11" s="608">
        <v>7545</v>
      </c>
      <c r="O11" s="608">
        <v>15750</v>
      </c>
      <c r="P11" s="608">
        <v>5380</v>
      </c>
      <c r="Q11" s="608">
        <v>11568</v>
      </c>
      <c r="R11" s="608">
        <v>12019</v>
      </c>
      <c r="S11" s="608">
        <v>29556</v>
      </c>
      <c r="T11" s="608">
        <v>8810</v>
      </c>
      <c r="U11" s="608">
        <v>23829</v>
      </c>
      <c r="V11" s="608">
        <v>1</v>
      </c>
      <c r="W11" s="608">
        <v>24</v>
      </c>
      <c r="X11" s="608">
        <v>3</v>
      </c>
      <c r="Y11" s="608">
        <v>89</v>
      </c>
      <c r="Z11" s="608">
        <v>137</v>
      </c>
      <c r="AA11" s="608">
        <v>522</v>
      </c>
      <c r="AB11" s="608">
        <v>130</v>
      </c>
      <c r="AC11" s="608">
        <v>502</v>
      </c>
      <c r="AD11" s="32">
        <f t="shared" si="0"/>
        <v>24907</v>
      </c>
      <c r="AE11" s="32">
        <f t="shared" si="0"/>
        <v>64124</v>
      </c>
      <c r="AF11" s="32">
        <f t="shared" si="0"/>
        <v>22433</v>
      </c>
      <c r="AG11" s="37">
        <f t="shared" si="1"/>
        <v>-9.9</v>
      </c>
      <c r="AH11" s="32">
        <f t="shared" si="2"/>
        <v>66436</v>
      </c>
      <c r="AI11" s="37">
        <f t="shared" si="3"/>
        <v>3.6</v>
      </c>
    </row>
    <row r="12" spans="1:35" ht="19.5" hidden="1" customHeight="1">
      <c r="A12" s="611" t="s">
        <v>48</v>
      </c>
      <c r="B12" s="608">
        <v>2784</v>
      </c>
      <c r="C12" s="608">
        <v>15790</v>
      </c>
      <c r="D12" s="608">
        <v>3033</v>
      </c>
      <c r="E12" s="608">
        <v>24751</v>
      </c>
      <c r="F12" s="608">
        <v>2</v>
      </c>
      <c r="G12" s="608">
        <v>78</v>
      </c>
      <c r="H12" s="608">
        <v>4</v>
      </c>
      <c r="I12" s="608">
        <v>42</v>
      </c>
      <c r="J12" s="608">
        <v>5336</v>
      </c>
      <c r="K12" s="608">
        <v>14757</v>
      </c>
      <c r="L12" s="608">
        <v>4245</v>
      </c>
      <c r="M12" s="608">
        <v>13380</v>
      </c>
      <c r="N12" s="608">
        <v>2389</v>
      </c>
      <c r="O12" s="608">
        <v>4900</v>
      </c>
      <c r="P12" s="608">
        <v>1780</v>
      </c>
      <c r="Q12" s="608">
        <v>3772</v>
      </c>
      <c r="R12" s="608">
        <v>2427</v>
      </c>
      <c r="S12" s="608">
        <v>6109</v>
      </c>
      <c r="T12" s="608">
        <v>1953</v>
      </c>
      <c r="U12" s="608">
        <v>5678</v>
      </c>
      <c r="V12" s="608">
        <v>6</v>
      </c>
      <c r="W12" s="608">
        <v>160</v>
      </c>
      <c r="X12" s="608">
        <v>6</v>
      </c>
      <c r="Y12" s="608">
        <v>165</v>
      </c>
      <c r="Z12" s="608">
        <v>1</v>
      </c>
      <c r="AA12" s="608">
        <v>210</v>
      </c>
      <c r="AB12" s="608">
        <v>1</v>
      </c>
      <c r="AC12" s="608">
        <v>149</v>
      </c>
      <c r="AD12" s="32">
        <f t="shared" si="0"/>
        <v>12945</v>
      </c>
      <c r="AE12" s="32">
        <f t="shared" si="0"/>
        <v>42004</v>
      </c>
      <c r="AF12" s="32">
        <f t="shared" si="0"/>
        <v>11022</v>
      </c>
      <c r="AG12" s="37">
        <f t="shared" si="1"/>
        <v>-14.9</v>
      </c>
      <c r="AH12" s="32">
        <f t="shared" si="2"/>
        <v>47937</v>
      </c>
      <c r="AI12" s="37">
        <f t="shared" si="3"/>
        <v>14.1</v>
      </c>
    </row>
    <row r="13" spans="1:35" ht="19.5" hidden="1" customHeight="1">
      <c r="A13" s="611" t="s">
        <v>49</v>
      </c>
      <c r="B13" s="608">
        <v>6925</v>
      </c>
      <c r="C13" s="608">
        <v>29390</v>
      </c>
      <c r="D13" s="608">
        <v>6061</v>
      </c>
      <c r="E13" s="608">
        <v>30521</v>
      </c>
      <c r="F13" s="608">
        <v>6</v>
      </c>
      <c r="G13" s="608">
        <v>208</v>
      </c>
      <c r="H13" s="608">
        <v>8</v>
      </c>
      <c r="I13" s="608">
        <v>209</v>
      </c>
      <c r="J13" s="608">
        <v>1295</v>
      </c>
      <c r="K13" s="608">
        <v>4146</v>
      </c>
      <c r="L13" s="608">
        <v>1335</v>
      </c>
      <c r="M13" s="608">
        <v>5521</v>
      </c>
      <c r="N13" s="608">
        <v>442</v>
      </c>
      <c r="O13" s="608">
        <v>884</v>
      </c>
      <c r="P13" s="608">
        <v>40</v>
      </c>
      <c r="Q13" s="608">
        <v>82</v>
      </c>
      <c r="R13" s="608">
        <v>1999</v>
      </c>
      <c r="S13" s="608">
        <v>5004</v>
      </c>
      <c r="T13" s="608">
        <v>1927</v>
      </c>
      <c r="U13" s="608">
        <v>5216</v>
      </c>
      <c r="V13" s="608">
        <v>1</v>
      </c>
      <c r="W13" s="608">
        <v>18</v>
      </c>
      <c r="X13" s="608">
        <v>5</v>
      </c>
      <c r="Y13" s="608">
        <v>83</v>
      </c>
      <c r="Z13" s="608">
        <v>78</v>
      </c>
      <c r="AA13" s="608">
        <v>2189</v>
      </c>
      <c r="AB13" s="608">
        <v>3</v>
      </c>
      <c r="AC13" s="608">
        <v>349</v>
      </c>
      <c r="AD13" s="32">
        <f t="shared" si="0"/>
        <v>10746</v>
      </c>
      <c r="AE13" s="32">
        <f t="shared" si="0"/>
        <v>41839</v>
      </c>
      <c r="AF13" s="32">
        <f t="shared" si="0"/>
        <v>9379</v>
      </c>
      <c r="AG13" s="37">
        <f t="shared" si="1"/>
        <v>-12.7</v>
      </c>
      <c r="AH13" s="32">
        <f t="shared" si="2"/>
        <v>41981</v>
      </c>
      <c r="AI13" s="37">
        <f t="shared" si="3"/>
        <v>0.3</v>
      </c>
    </row>
    <row r="14" spans="1:35" ht="19.5" hidden="1" customHeight="1">
      <c r="A14" s="611" t="s">
        <v>47</v>
      </c>
      <c r="B14" s="608">
        <v>2212</v>
      </c>
      <c r="C14" s="608">
        <v>15115</v>
      </c>
      <c r="D14" s="608">
        <v>1973</v>
      </c>
      <c r="E14" s="608">
        <v>18436</v>
      </c>
      <c r="F14" s="608">
        <v>385</v>
      </c>
      <c r="G14" s="608">
        <v>2023</v>
      </c>
      <c r="H14" s="608">
        <v>602</v>
      </c>
      <c r="I14" s="608">
        <v>3729</v>
      </c>
      <c r="J14" s="608">
        <v>6580</v>
      </c>
      <c r="K14" s="608">
        <v>24709</v>
      </c>
      <c r="L14" s="608">
        <v>6110</v>
      </c>
      <c r="M14" s="608">
        <v>27014</v>
      </c>
      <c r="N14" s="608">
        <v>606</v>
      </c>
      <c r="O14" s="608">
        <v>1247</v>
      </c>
      <c r="P14" s="608">
        <v>602</v>
      </c>
      <c r="Q14" s="608">
        <v>1320</v>
      </c>
      <c r="R14" s="608">
        <v>124</v>
      </c>
      <c r="S14" s="608">
        <v>377</v>
      </c>
      <c r="T14" s="608">
        <v>134</v>
      </c>
      <c r="U14" s="608">
        <v>378</v>
      </c>
      <c r="V14" s="608">
        <v>29</v>
      </c>
      <c r="W14" s="608">
        <v>394</v>
      </c>
      <c r="X14" s="608">
        <v>1</v>
      </c>
      <c r="Y14" s="608">
        <v>137</v>
      </c>
      <c r="Z14" s="608">
        <v>125</v>
      </c>
      <c r="AA14" s="608">
        <v>3288</v>
      </c>
      <c r="AB14" s="608">
        <v>101</v>
      </c>
      <c r="AC14" s="608">
        <v>1077</v>
      </c>
      <c r="AD14" s="32">
        <f t="shared" si="0"/>
        <v>10061</v>
      </c>
      <c r="AE14" s="32">
        <f t="shared" si="0"/>
        <v>47153</v>
      </c>
      <c r="AF14" s="32">
        <f t="shared" si="0"/>
        <v>9523</v>
      </c>
      <c r="AG14" s="37">
        <f t="shared" si="1"/>
        <v>-5.3</v>
      </c>
      <c r="AH14" s="32">
        <f t="shared" si="2"/>
        <v>52091</v>
      </c>
      <c r="AI14" s="37">
        <f t="shared" si="3"/>
        <v>10.5</v>
      </c>
    </row>
    <row r="15" spans="1:35" ht="19.5" hidden="1" customHeight="1">
      <c r="A15" s="611" t="s">
        <v>50</v>
      </c>
      <c r="B15" s="608">
        <v>3482</v>
      </c>
      <c r="C15" s="608">
        <v>28194</v>
      </c>
      <c r="D15" s="608">
        <v>1080</v>
      </c>
      <c r="E15" s="608">
        <v>15425</v>
      </c>
      <c r="F15" s="608">
        <v>0</v>
      </c>
      <c r="G15" s="608">
        <v>46</v>
      </c>
      <c r="H15" s="608">
        <v>62</v>
      </c>
      <c r="I15" s="608">
        <v>1121</v>
      </c>
      <c r="J15" s="608">
        <v>1290</v>
      </c>
      <c r="K15" s="608">
        <v>8737</v>
      </c>
      <c r="L15" s="608">
        <v>1399</v>
      </c>
      <c r="M15" s="608">
        <v>7437</v>
      </c>
      <c r="N15" s="608">
        <v>187</v>
      </c>
      <c r="O15" s="608">
        <v>403</v>
      </c>
      <c r="P15" s="608">
        <v>121</v>
      </c>
      <c r="Q15" s="608">
        <v>281</v>
      </c>
      <c r="R15" s="608">
        <v>2924</v>
      </c>
      <c r="S15" s="608">
        <v>6341</v>
      </c>
      <c r="T15" s="608">
        <v>4827</v>
      </c>
      <c r="U15" s="608">
        <v>12949</v>
      </c>
      <c r="V15" s="608">
        <v>7</v>
      </c>
      <c r="W15" s="608">
        <v>641</v>
      </c>
      <c r="X15" s="608">
        <v>15</v>
      </c>
      <c r="Y15" s="608">
        <v>608</v>
      </c>
      <c r="Z15" s="608">
        <v>41</v>
      </c>
      <c r="AA15" s="608">
        <v>931</v>
      </c>
      <c r="AB15" s="608">
        <v>13</v>
      </c>
      <c r="AC15" s="608">
        <v>1169</v>
      </c>
      <c r="AD15" s="32">
        <f t="shared" si="0"/>
        <v>7931</v>
      </c>
      <c r="AE15" s="32">
        <f t="shared" si="0"/>
        <v>45293</v>
      </c>
      <c r="AF15" s="32">
        <f t="shared" si="0"/>
        <v>7517</v>
      </c>
      <c r="AG15" s="37">
        <f t="shared" si="1"/>
        <v>-5.2</v>
      </c>
      <c r="AH15" s="32">
        <f t="shared" si="2"/>
        <v>38990</v>
      </c>
      <c r="AI15" s="37">
        <f t="shared" si="3"/>
        <v>-13.9</v>
      </c>
    </row>
    <row r="16" spans="1:35" ht="19.5" hidden="1" customHeight="1">
      <c r="A16" s="611" t="s">
        <v>51</v>
      </c>
      <c r="B16" s="608">
        <v>933</v>
      </c>
      <c r="C16" s="608">
        <v>5645</v>
      </c>
      <c r="D16" s="608">
        <v>686</v>
      </c>
      <c r="E16" s="608">
        <v>5211</v>
      </c>
      <c r="F16" s="608">
        <v>7</v>
      </c>
      <c r="G16" s="608">
        <v>210</v>
      </c>
      <c r="H16" s="608">
        <v>0</v>
      </c>
      <c r="I16" s="608">
        <v>44</v>
      </c>
      <c r="J16" s="608">
        <v>1594</v>
      </c>
      <c r="K16" s="608">
        <v>5000</v>
      </c>
      <c r="L16" s="608">
        <v>2482</v>
      </c>
      <c r="M16" s="608">
        <v>7757</v>
      </c>
      <c r="N16" s="608">
        <v>2737</v>
      </c>
      <c r="O16" s="608">
        <v>5652</v>
      </c>
      <c r="P16" s="608">
        <v>1489</v>
      </c>
      <c r="Q16" s="608">
        <v>3183</v>
      </c>
      <c r="R16" s="608">
        <v>3989</v>
      </c>
      <c r="S16" s="608">
        <v>9810</v>
      </c>
      <c r="T16" s="608">
        <v>2863</v>
      </c>
      <c r="U16" s="608">
        <v>8252</v>
      </c>
      <c r="V16" s="608">
        <v>4</v>
      </c>
      <c r="W16" s="608">
        <v>108</v>
      </c>
      <c r="X16" s="608">
        <v>4</v>
      </c>
      <c r="Y16" s="608">
        <v>128</v>
      </c>
      <c r="Z16" s="608">
        <v>0</v>
      </c>
      <c r="AA16" s="608">
        <v>4</v>
      </c>
      <c r="AB16" s="608">
        <v>0</v>
      </c>
      <c r="AC16" s="608">
        <v>2</v>
      </c>
      <c r="AD16" s="32">
        <f t="shared" si="0"/>
        <v>9264</v>
      </c>
      <c r="AE16" s="32">
        <f t="shared" si="0"/>
        <v>26429</v>
      </c>
      <c r="AF16" s="32">
        <f t="shared" si="0"/>
        <v>7524</v>
      </c>
      <c r="AG16" s="37">
        <f t="shared" si="1"/>
        <v>-18.8</v>
      </c>
      <c r="AH16" s="32">
        <f t="shared" si="2"/>
        <v>24577</v>
      </c>
      <c r="AI16" s="37">
        <f t="shared" si="3"/>
        <v>-7</v>
      </c>
    </row>
    <row r="17" spans="1:35" ht="19.5" hidden="1" customHeight="1">
      <c r="A17" s="611" t="s">
        <v>54</v>
      </c>
      <c r="B17" s="608">
        <v>964</v>
      </c>
      <c r="C17" s="608">
        <v>6376</v>
      </c>
      <c r="D17" s="608">
        <v>837</v>
      </c>
      <c r="E17" s="608">
        <v>6986</v>
      </c>
      <c r="F17" s="608">
        <v>0</v>
      </c>
      <c r="G17" s="608">
        <v>9</v>
      </c>
      <c r="H17" s="608">
        <v>3</v>
      </c>
      <c r="I17" s="608">
        <v>8</v>
      </c>
      <c r="J17" s="608">
        <v>4157</v>
      </c>
      <c r="K17" s="608">
        <v>11888</v>
      </c>
      <c r="L17" s="608">
        <v>3884</v>
      </c>
      <c r="M17" s="608">
        <v>11368</v>
      </c>
      <c r="N17" s="608">
        <v>286</v>
      </c>
      <c r="O17" s="608">
        <v>1392</v>
      </c>
      <c r="P17" s="608">
        <v>263</v>
      </c>
      <c r="Q17" s="608">
        <v>1699</v>
      </c>
      <c r="R17" s="608">
        <v>782</v>
      </c>
      <c r="S17" s="608">
        <v>2127</v>
      </c>
      <c r="T17" s="608">
        <v>1815</v>
      </c>
      <c r="U17" s="608">
        <v>5533</v>
      </c>
      <c r="V17" s="608">
        <v>0</v>
      </c>
      <c r="W17" s="608">
        <v>0</v>
      </c>
      <c r="X17" s="608">
        <v>0</v>
      </c>
      <c r="Y17" s="608">
        <v>0</v>
      </c>
      <c r="Z17" s="608">
        <v>0</v>
      </c>
      <c r="AA17" s="608">
        <v>10</v>
      </c>
      <c r="AB17" s="608">
        <v>0</v>
      </c>
      <c r="AC17" s="608">
        <v>0</v>
      </c>
      <c r="AD17" s="32">
        <f t="shared" si="0"/>
        <v>6189</v>
      </c>
      <c r="AE17" s="32">
        <f t="shared" si="0"/>
        <v>21802</v>
      </c>
      <c r="AF17" s="32">
        <f t="shared" si="0"/>
        <v>6802</v>
      </c>
      <c r="AG17" s="37">
        <f t="shared" si="1"/>
        <v>9.9</v>
      </c>
      <c r="AH17" s="32">
        <f t="shared" si="2"/>
        <v>25594</v>
      </c>
      <c r="AI17" s="37">
        <f t="shared" si="3"/>
        <v>17.399999999999999</v>
      </c>
    </row>
    <row r="18" spans="1:35" ht="19.5" hidden="1" customHeight="1">
      <c r="A18" s="611" t="s">
        <v>58</v>
      </c>
      <c r="B18" s="608">
        <v>112</v>
      </c>
      <c r="C18" s="608">
        <v>832</v>
      </c>
      <c r="D18" s="608">
        <v>13</v>
      </c>
      <c r="E18" s="608">
        <v>190</v>
      </c>
      <c r="F18" s="608">
        <v>0</v>
      </c>
      <c r="G18" s="608">
        <v>4</v>
      </c>
      <c r="H18" s="608">
        <v>0</v>
      </c>
      <c r="I18" s="608">
        <v>14</v>
      </c>
      <c r="J18" s="608">
        <v>3852</v>
      </c>
      <c r="K18" s="608">
        <v>10721</v>
      </c>
      <c r="L18" s="608">
        <v>3213</v>
      </c>
      <c r="M18" s="608">
        <v>11104</v>
      </c>
      <c r="N18" s="608">
        <v>0</v>
      </c>
      <c r="O18" s="608">
        <v>0</v>
      </c>
      <c r="P18" s="608">
        <v>0</v>
      </c>
      <c r="Q18" s="608">
        <v>0</v>
      </c>
      <c r="R18" s="608">
        <v>2</v>
      </c>
      <c r="S18" s="608">
        <v>36</v>
      </c>
      <c r="T18" s="608">
        <v>7</v>
      </c>
      <c r="U18" s="608">
        <v>66</v>
      </c>
      <c r="V18" s="608">
        <v>1</v>
      </c>
      <c r="W18" s="608">
        <v>35</v>
      </c>
      <c r="X18" s="608">
        <v>0</v>
      </c>
      <c r="Y18" s="608">
        <v>0</v>
      </c>
      <c r="Z18" s="608">
        <v>0</v>
      </c>
      <c r="AA18" s="608">
        <v>17</v>
      </c>
      <c r="AB18" s="608">
        <v>0</v>
      </c>
      <c r="AC18" s="608">
        <v>19</v>
      </c>
      <c r="AD18" s="32">
        <f t="shared" si="0"/>
        <v>3967</v>
      </c>
      <c r="AE18" s="32">
        <f t="shared" si="0"/>
        <v>11645</v>
      </c>
      <c r="AF18" s="32">
        <f t="shared" si="0"/>
        <v>3233</v>
      </c>
      <c r="AG18" s="37">
        <f t="shared" si="1"/>
        <v>-18.5</v>
      </c>
      <c r="AH18" s="32">
        <f t="shared" si="2"/>
        <v>11393</v>
      </c>
      <c r="AI18" s="37">
        <f t="shared" si="3"/>
        <v>-2.2000000000000002</v>
      </c>
    </row>
    <row r="19" spans="1:35" ht="19.5" hidden="1" customHeight="1">
      <c r="A19" s="611" t="s">
        <v>52</v>
      </c>
      <c r="B19" s="608">
        <v>3433</v>
      </c>
      <c r="C19" s="608">
        <v>20438</v>
      </c>
      <c r="D19" s="608">
        <v>2326</v>
      </c>
      <c r="E19" s="608">
        <v>18101</v>
      </c>
      <c r="F19" s="608">
        <v>15</v>
      </c>
      <c r="G19" s="608">
        <v>332</v>
      </c>
      <c r="H19" s="608">
        <v>11</v>
      </c>
      <c r="I19" s="608">
        <v>633</v>
      </c>
      <c r="J19" s="608">
        <v>918</v>
      </c>
      <c r="K19" s="608">
        <v>3671</v>
      </c>
      <c r="L19" s="608">
        <v>627</v>
      </c>
      <c r="M19" s="608">
        <v>2243</v>
      </c>
      <c r="N19" s="608">
        <v>5</v>
      </c>
      <c r="O19" s="608">
        <v>132</v>
      </c>
      <c r="P19" s="608">
        <v>171</v>
      </c>
      <c r="Q19" s="608">
        <v>344</v>
      </c>
      <c r="R19" s="608">
        <v>482</v>
      </c>
      <c r="S19" s="608">
        <v>1232</v>
      </c>
      <c r="T19" s="608">
        <v>580</v>
      </c>
      <c r="U19" s="608">
        <v>1721</v>
      </c>
      <c r="V19" s="608">
        <v>2</v>
      </c>
      <c r="W19" s="608">
        <v>145</v>
      </c>
      <c r="X19" s="608">
        <v>30</v>
      </c>
      <c r="Y19" s="608">
        <v>1079</v>
      </c>
      <c r="Z19" s="608">
        <v>0</v>
      </c>
      <c r="AA19" s="608">
        <v>0</v>
      </c>
      <c r="AB19" s="608">
        <v>0</v>
      </c>
      <c r="AC19" s="608">
        <v>1</v>
      </c>
      <c r="AD19" s="32">
        <f t="shared" si="0"/>
        <v>4855</v>
      </c>
      <c r="AE19" s="32">
        <f t="shared" si="0"/>
        <v>25950</v>
      </c>
      <c r="AF19" s="32">
        <f t="shared" si="0"/>
        <v>3745</v>
      </c>
      <c r="AG19" s="37">
        <f t="shared" si="1"/>
        <v>-22.9</v>
      </c>
      <c r="AH19" s="32">
        <f t="shared" si="2"/>
        <v>24122</v>
      </c>
      <c r="AI19" s="37">
        <f t="shared" si="3"/>
        <v>-7</v>
      </c>
    </row>
    <row r="20" spans="1:35" ht="19.5" hidden="1" customHeight="1">
      <c r="A20" s="611" t="s">
        <v>56</v>
      </c>
      <c r="B20" s="608">
        <v>92</v>
      </c>
      <c r="C20" s="608">
        <v>706</v>
      </c>
      <c r="D20" s="608">
        <v>64</v>
      </c>
      <c r="E20" s="608">
        <v>568</v>
      </c>
      <c r="F20" s="608">
        <v>0</v>
      </c>
      <c r="G20" s="608">
        <v>27</v>
      </c>
      <c r="H20" s="608">
        <v>4</v>
      </c>
      <c r="I20" s="608">
        <v>55</v>
      </c>
      <c r="J20" s="608">
        <v>2327</v>
      </c>
      <c r="K20" s="608">
        <v>4491</v>
      </c>
      <c r="L20" s="608">
        <v>859</v>
      </c>
      <c r="M20" s="608">
        <v>2680</v>
      </c>
      <c r="N20" s="608">
        <v>0</v>
      </c>
      <c r="O20" s="608">
        <v>0</v>
      </c>
      <c r="P20" s="608">
        <v>0</v>
      </c>
      <c r="Q20" s="608">
        <v>0</v>
      </c>
      <c r="R20" s="608">
        <v>729</v>
      </c>
      <c r="S20" s="608">
        <v>1840</v>
      </c>
      <c r="T20" s="608">
        <v>595</v>
      </c>
      <c r="U20" s="608">
        <v>1703</v>
      </c>
      <c r="V20" s="608">
        <v>0</v>
      </c>
      <c r="W20" s="608">
        <v>0</v>
      </c>
      <c r="X20" s="608">
        <v>0</v>
      </c>
      <c r="Y20" s="608">
        <v>0</v>
      </c>
      <c r="Z20" s="608">
        <v>0</v>
      </c>
      <c r="AA20" s="608">
        <v>1</v>
      </c>
      <c r="AB20" s="608">
        <v>0</v>
      </c>
      <c r="AC20" s="608">
        <v>0</v>
      </c>
      <c r="AD20" s="32">
        <f t="shared" si="0"/>
        <v>3148</v>
      </c>
      <c r="AE20" s="32">
        <f t="shared" si="0"/>
        <v>7065</v>
      </c>
      <c r="AF20" s="32">
        <f t="shared" si="0"/>
        <v>1522</v>
      </c>
      <c r="AG20" s="37">
        <f t="shared" si="1"/>
        <v>-51.7</v>
      </c>
      <c r="AH20" s="32">
        <f t="shared" si="2"/>
        <v>5006</v>
      </c>
      <c r="AI20" s="37">
        <f t="shared" si="3"/>
        <v>-29.1</v>
      </c>
    </row>
    <row r="21" spans="1:35" ht="19.5" hidden="1" customHeight="1">
      <c r="A21" s="611" t="s">
        <v>53</v>
      </c>
      <c r="B21" s="608">
        <v>1895</v>
      </c>
      <c r="C21" s="608">
        <v>6613</v>
      </c>
      <c r="D21" s="608">
        <v>1512</v>
      </c>
      <c r="E21" s="608">
        <v>9380</v>
      </c>
      <c r="F21" s="608">
        <v>1</v>
      </c>
      <c r="G21" s="608">
        <v>68</v>
      </c>
      <c r="H21" s="608">
        <v>1</v>
      </c>
      <c r="I21" s="608">
        <v>85</v>
      </c>
      <c r="J21" s="608">
        <v>283</v>
      </c>
      <c r="K21" s="608">
        <v>1631</v>
      </c>
      <c r="L21" s="608">
        <v>375</v>
      </c>
      <c r="M21" s="608">
        <v>2319</v>
      </c>
      <c r="N21" s="608">
        <v>4</v>
      </c>
      <c r="O21" s="608">
        <v>20</v>
      </c>
      <c r="P21" s="608">
        <v>2</v>
      </c>
      <c r="Q21" s="608">
        <v>11</v>
      </c>
      <c r="R21" s="608">
        <v>2589</v>
      </c>
      <c r="S21" s="608">
        <v>6236</v>
      </c>
      <c r="T21" s="608">
        <v>3879</v>
      </c>
      <c r="U21" s="608">
        <v>11483</v>
      </c>
      <c r="V21" s="608">
        <v>0</v>
      </c>
      <c r="W21" s="608">
        <v>0</v>
      </c>
      <c r="X21" s="608">
        <v>0</v>
      </c>
      <c r="Y21" s="608">
        <v>15</v>
      </c>
      <c r="Z21" s="608">
        <v>131</v>
      </c>
      <c r="AA21" s="608">
        <v>548</v>
      </c>
      <c r="AB21" s="608">
        <v>121</v>
      </c>
      <c r="AC21" s="608">
        <v>308</v>
      </c>
      <c r="AD21" s="32">
        <f t="shared" si="0"/>
        <v>4903</v>
      </c>
      <c r="AE21" s="32">
        <f t="shared" si="0"/>
        <v>15116</v>
      </c>
      <c r="AF21" s="32">
        <f t="shared" si="0"/>
        <v>5890</v>
      </c>
      <c r="AG21" s="37">
        <f t="shared" si="1"/>
        <v>20.100000000000001</v>
      </c>
      <c r="AH21" s="32">
        <f t="shared" si="2"/>
        <v>23601</v>
      </c>
      <c r="AI21" s="37">
        <f t="shared" si="3"/>
        <v>56.1</v>
      </c>
    </row>
    <row r="22" spans="1:35" ht="19.5" hidden="1" customHeight="1">
      <c r="A22" s="611" t="s">
        <v>57</v>
      </c>
      <c r="B22" s="608">
        <v>108</v>
      </c>
      <c r="C22" s="608">
        <v>926</v>
      </c>
      <c r="D22" s="608">
        <v>93</v>
      </c>
      <c r="E22" s="608">
        <v>935</v>
      </c>
      <c r="F22" s="608">
        <v>2</v>
      </c>
      <c r="G22" s="608">
        <v>310</v>
      </c>
      <c r="H22" s="608">
        <v>2</v>
      </c>
      <c r="I22" s="608">
        <v>152</v>
      </c>
      <c r="J22" s="608">
        <v>760</v>
      </c>
      <c r="K22" s="608">
        <v>2088</v>
      </c>
      <c r="L22" s="608">
        <v>1706</v>
      </c>
      <c r="M22" s="608">
        <v>5135</v>
      </c>
      <c r="N22" s="608">
        <v>0</v>
      </c>
      <c r="O22" s="608">
        <v>0</v>
      </c>
      <c r="P22" s="608">
        <v>0</v>
      </c>
      <c r="Q22" s="608">
        <v>0</v>
      </c>
      <c r="R22" s="608">
        <v>1108</v>
      </c>
      <c r="S22" s="608">
        <v>2747</v>
      </c>
      <c r="T22" s="608">
        <v>1237</v>
      </c>
      <c r="U22" s="608">
        <v>3439</v>
      </c>
      <c r="V22" s="608">
        <v>0</v>
      </c>
      <c r="W22" s="608">
        <v>0</v>
      </c>
      <c r="X22" s="608">
        <v>0</v>
      </c>
      <c r="Y22" s="608">
        <v>0</v>
      </c>
      <c r="Z22" s="608">
        <v>0</v>
      </c>
      <c r="AA22" s="608">
        <v>2</v>
      </c>
      <c r="AB22" s="608">
        <v>0</v>
      </c>
      <c r="AC22" s="608">
        <v>3</v>
      </c>
      <c r="AD22" s="32">
        <f t="shared" si="0"/>
        <v>1978</v>
      </c>
      <c r="AE22" s="32">
        <f t="shared" si="0"/>
        <v>6073</v>
      </c>
      <c r="AF22" s="32">
        <f t="shared" si="0"/>
        <v>3038</v>
      </c>
      <c r="AG22" s="37">
        <f t="shared" si="1"/>
        <v>53.6</v>
      </c>
      <c r="AH22" s="32">
        <f t="shared" si="2"/>
        <v>9664</v>
      </c>
      <c r="AI22" s="37">
        <f t="shared" si="3"/>
        <v>59.1</v>
      </c>
    </row>
    <row r="23" spans="1:35" ht="19.5" hidden="1" customHeight="1">
      <c r="A23" s="611" t="s">
        <v>70</v>
      </c>
      <c r="B23" s="608">
        <v>238</v>
      </c>
      <c r="C23" s="608">
        <v>2154</v>
      </c>
      <c r="D23" s="608">
        <v>59</v>
      </c>
      <c r="E23" s="608">
        <v>512</v>
      </c>
      <c r="F23" s="608">
        <v>0</v>
      </c>
      <c r="G23" s="608">
        <v>4</v>
      </c>
      <c r="H23" s="608">
        <v>0</v>
      </c>
      <c r="I23" s="608">
        <v>0</v>
      </c>
      <c r="J23" s="608">
        <v>1338</v>
      </c>
      <c r="K23" s="608">
        <v>3297</v>
      </c>
      <c r="L23" s="608">
        <v>2541</v>
      </c>
      <c r="M23" s="608">
        <v>7209</v>
      </c>
      <c r="N23" s="608">
        <v>0</v>
      </c>
      <c r="O23" s="608">
        <v>0</v>
      </c>
      <c r="P23" s="608">
        <v>0</v>
      </c>
      <c r="Q23" s="608">
        <v>0</v>
      </c>
      <c r="R23" s="608">
        <v>0</v>
      </c>
      <c r="S23" s="608">
        <v>0</v>
      </c>
      <c r="T23" s="608">
        <v>0</v>
      </c>
      <c r="U23" s="608">
        <v>1</v>
      </c>
      <c r="V23" s="608">
        <v>0</v>
      </c>
      <c r="W23" s="608">
        <v>0</v>
      </c>
      <c r="X23" s="608">
        <v>0</v>
      </c>
      <c r="Y23" s="608">
        <v>0</v>
      </c>
      <c r="Z23" s="608">
        <v>0</v>
      </c>
      <c r="AA23" s="608">
        <v>0</v>
      </c>
      <c r="AB23" s="608">
        <v>1</v>
      </c>
      <c r="AC23" s="608">
        <v>8</v>
      </c>
      <c r="AD23" s="32">
        <f t="shared" si="0"/>
        <v>1576</v>
      </c>
      <c r="AE23" s="32">
        <f t="shared" si="0"/>
        <v>5455</v>
      </c>
      <c r="AF23" s="32">
        <f t="shared" si="0"/>
        <v>2601</v>
      </c>
      <c r="AG23" s="37">
        <f t="shared" si="1"/>
        <v>65</v>
      </c>
      <c r="AH23" s="32">
        <f t="shared" si="2"/>
        <v>7730</v>
      </c>
      <c r="AI23" s="37">
        <f t="shared" si="3"/>
        <v>41.7</v>
      </c>
    </row>
    <row r="24" spans="1:35" ht="19.5" hidden="1" customHeight="1">
      <c r="A24" s="611" t="s">
        <v>68</v>
      </c>
      <c r="B24" s="608">
        <v>172</v>
      </c>
      <c r="C24" s="608">
        <v>1256</v>
      </c>
      <c r="D24" s="608">
        <v>202</v>
      </c>
      <c r="E24" s="608">
        <v>1849</v>
      </c>
      <c r="F24" s="608">
        <v>0</v>
      </c>
      <c r="G24" s="608">
        <v>0</v>
      </c>
      <c r="H24" s="608">
        <v>0</v>
      </c>
      <c r="I24" s="608">
        <v>0</v>
      </c>
      <c r="J24" s="608">
        <v>1783</v>
      </c>
      <c r="K24" s="608">
        <v>4345</v>
      </c>
      <c r="L24" s="608">
        <v>522</v>
      </c>
      <c r="M24" s="608">
        <v>1769</v>
      </c>
      <c r="N24" s="608">
        <v>0</v>
      </c>
      <c r="O24" s="608">
        <v>0</v>
      </c>
      <c r="P24" s="608">
        <v>0</v>
      </c>
      <c r="Q24" s="608">
        <v>0</v>
      </c>
      <c r="R24" s="608">
        <v>0</v>
      </c>
      <c r="S24" s="608">
        <v>0</v>
      </c>
      <c r="T24" s="608">
        <v>0</v>
      </c>
      <c r="U24" s="608">
        <v>0</v>
      </c>
      <c r="V24" s="608">
        <v>1</v>
      </c>
      <c r="W24" s="608">
        <v>16</v>
      </c>
      <c r="X24" s="608">
        <v>0</v>
      </c>
      <c r="Y24" s="608">
        <v>0</v>
      </c>
      <c r="Z24" s="608">
        <v>0</v>
      </c>
      <c r="AA24" s="608">
        <v>0</v>
      </c>
      <c r="AB24" s="608">
        <v>0</v>
      </c>
      <c r="AC24" s="608">
        <v>6</v>
      </c>
      <c r="AD24" s="32">
        <f t="shared" si="0"/>
        <v>1956</v>
      </c>
      <c r="AE24" s="32">
        <f t="shared" si="0"/>
        <v>5617</v>
      </c>
      <c r="AF24" s="32">
        <f t="shared" si="0"/>
        <v>724</v>
      </c>
      <c r="AG24" s="37">
        <f t="shared" si="1"/>
        <v>-63</v>
      </c>
      <c r="AH24" s="32">
        <f t="shared" si="2"/>
        <v>3624</v>
      </c>
      <c r="AI24" s="37">
        <f t="shared" si="3"/>
        <v>-35.5</v>
      </c>
    </row>
    <row r="25" spans="1:35" ht="19.5" hidden="1" customHeight="1">
      <c r="A25" s="611" t="s">
        <v>60</v>
      </c>
      <c r="B25" s="608">
        <v>20</v>
      </c>
      <c r="C25" s="608">
        <v>20</v>
      </c>
      <c r="D25" s="608">
        <v>1</v>
      </c>
      <c r="E25" s="608">
        <v>2</v>
      </c>
      <c r="F25" s="608">
        <v>0</v>
      </c>
      <c r="G25" s="608">
        <v>0</v>
      </c>
      <c r="H25" s="608">
        <v>0</v>
      </c>
      <c r="I25" s="608">
        <v>0</v>
      </c>
      <c r="J25" s="608">
        <v>861</v>
      </c>
      <c r="K25" s="608">
        <v>2241</v>
      </c>
      <c r="L25" s="608">
        <v>763</v>
      </c>
      <c r="M25" s="608">
        <v>2300</v>
      </c>
      <c r="N25" s="608">
        <v>0</v>
      </c>
      <c r="O25" s="608">
        <v>0</v>
      </c>
      <c r="P25" s="608">
        <v>0</v>
      </c>
      <c r="Q25" s="608">
        <v>0</v>
      </c>
      <c r="R25" s="608">
        <v>0</v>
      </c>
      <c r="S25" s="608">
        <v>0</v>
      </c>
      <c r="T25" s="608">
        <v>300</v>
      </c>
      <c r="U25" s="608">
        <v>941</v>
      </c>
      <c r="V25" s="608">
        <v>0</v>
      </c>
      <c r="W25" s="608">
        <v>0</v>
      </c>
      <c r="X25" s="608">
        <v>0</v>
      </c>
      <c r="Y25" s="608">
        <v>0</v>
      </c>
      <c r="Z25" s="608">
        <v>0</v>
      </c>
      <c r="AA25" s="608">
        <v>0</v>
      </c>
      <c r="AB25" s="608">
        <v>0</v>
      </c>
      <c r="AC25" s="608">
        <v>0</v>
      </c>
      <c r="AD25" s="32">
        <f t="shared" si="0"/>
        <v>881</v>
      </c>
      <c r="AE25" s="32">
        <f t="shared" si="0"/>
        <v>2261</v>
      </c>
      <c r="AF25" s="32">
        <f t="shared" si="0"/>
        <v>1064</v>
      </c>
      <c r="AG25" s="37">
        <f t="shared" si="1"/>
        <v>20.8</v>
      </c>
      <c r="AH25" s="32">
        <f t="shared" si="2"/>
        <v>3243</v>
      </c>
      <c r="AI25" s="37">
        <f t="shared" si="3"/>
        <v>43.4</v>
      </c>
    </row>
    <row r="26" spans="1:35" ht="19.5" hidden="1" customHeight="1">
      <c r="A26" s="611" t="s">
        <v>55</v>
      </c>
      <c r="B26" s="608">
        <v>313</v>
      </c>
      <c r="C26" s="608">
        <v>1972</v>
      </c>
      <c r="D26" s="608">
        <v>200</v>
      </c>
      <c r="E26" s="608">
        <v>1601</v>
      </c>
      <c r="F26" s="608">
        <v>0</v>
      </c>
      <c r="G26" s="608">
        <v>0</v>
      </c>
      <c r="H26" s="608">
        <v>0</v>
      </c>
      <c r="I26" s="608">
        <v>0</v>
      </c>
      <c r="J26" s="608">
        <v>340</v>
      </c>
      <c r="K26" s="608">
        <v>1374</v>
      </c>
      <c r="L26" s="608">
        <v>381</v>
      </c>
      <c r="M26" s="608">
        <v>1613</v>
      </c>
      <c r="N26" s="608">
        <v>93</v>
      </c>
      <c r="O26" s="608">
        <v>181</v>
      </c>
      <c r="P26" s="608">
        <v>125</v>
      </c>
      <c r="Q26" s="608">
        <v>318</v>
      </c>
      <c r="R26" s="608">
        <v>1624</v>
      </c>
      <c r="S26" s="608">
        <v>4216</v>
      </c>
      <c r="T26" s="608">
        <v>62</v>
      </c>
      <c r="U26" s="608">
        <v>189</v>
      </c>
      <c r="V26" s="608">
        <v>0</v>
      </c>
      <c r="W26" s="608">
        <v>0</v>
      </c>
      <c r="X26" s="608">
        <v>0</v>
      </c>
      <c r="Y26" s="608">
        <v>0</v>
      </c>
      <c r="Z26" s="608">
        <v>0</v>
      </c>
      <c r="AA26" s="608">
        <v>0</v>
      </c>
      <c r="AB26" s="608">
        <v>0</v>
      </c>
      <c r="AC26" s="608">
        <v>0</v>
      </c>
      <c r="AD26" s="32">
        <f t="shared" si="0"/>
        <v>2370</v>
      </c>
      <c r="AE26" s="32">
        <f t="shared" si="0"/>
        <v>7743</v>
      </c>
      <c r="AF26" s="32">
        <f t="shared" si="0"/>
        <v>768</v>
      </c>
      <c r="AG26" s="37">
        <f t="shared" si="1"/>
        <v>-67.599999999999994</v>
      </c>
      <c r="AH26" s="32">
        <f t="shared" si="2"/>
        <v>3721</v>
      </c>
      <c r="AI26" s="37">
        <f t="shared" si="3"/>
        <v>-51.9</v>
      </c>
    </row>
    <row r="27" spans="1:35" ht="19.5" hidden="1" customHeight="1">
      <c r="A27" s="611" t="s">
        <v>421</v>
      </c>
      <c r="B27" s="608">
        <v>325</v>
      </c>
      <c r="C27" s="608">
        <v>4534</v>
      </c>
      <c r="D27" s="608">
        <v>1102</v>
      </c>
      <c r="E27" s="608">
        <v>15333</v>
      </c>
      <c r="F27" s="608">
        <v>6</v>
      </c>
      <c r="G27" s="608">
        <v>420</v>
      </c>
      <c r="H27" s="608">
        <v>1</v>
      </c>
      <c r="I27" s="608">
        <v>52</v>
      </c>
      <c r="J27" s="608">
        <v>453</v>
      </c>
      <c r="K27" s="608">
        <v>3825</v>
      </c>
      <c r="L27" s="608">
        <v>1311</v>
      </c>
      <c r="M27" s="608">
        <v>8700</v>
      </c>
      <c r="N27" s="608">
        <v>0</v>
      </c>
      <c r="O27" s="608">
        <v>0</v>
      </c>
      <c r="P27" s="608">
        <v>2</v>
      </c>
      <c r="Q27" s="608">
        <v>7</v>
      </c>
      <c r="R27" s="608">
        <v>0</v>
      </c>
      <c r="S27" s="608">
        <v>20</v>
      </c>
      <c r="T27" s="608">
        <v>10</v>
      </c>
      <c r="U27" s="608">
        <v>73</v>
      </c>
      <c r="V27" s="608">
        <v>0</v>
      </c>
      <c r="W27" s="608">
        <v>9</v>
      </c>
      <c r="X27" s="608">
        <v>1</v>
      </c>
      <c r="Y27" s="608">
        <v>41</v>
      </c>
      <c r="Z27" s="608">
        <v>0</v>
      </c>
      <c r="AA27" s="608">
        <v>1</v>
      </c>
      <c r="AB27" s="608">
        <v>0</v>
      </c>
      <c r="AC27" s="608">
        <v>0</v>
      </c>
      <c r="AD27" s="32">
        <f t="shared" si="0"/>
        <v>784</v>
      </c>
      <c r="AE27" s="32">
        <f t="shared" si="0"/>
        <v>8809</v>
      </c>
      <c r="AF27" s="32">
        <f t="shared" si="0"/>
        <v>2427</v>
      </c>
      <c r="AG27" s="37">
        <f t="shared" si="1"/>
        <v>209.6</v>
      </c>
      <c r="AH27" s="32">
        <f t="shared" si="2"/>
        <v>24206</v>
      </c>
      <c r="AI27" s="37">
        <f t="shared" si="3"/>
        <v>174.8</v>
      </c>
    </row>
    <row r="28" spans="1:35" ht="19.5" hidden="1" customHeight="1">
      <c r="A28" s="611" t="s">
        <v>422</v>
      </c>
      <c r="B28" s="608">
        <v>113</v>
      </c>
      <c r="C28" s="608">
        <v>1105</v>
      </c>
      <c r="D28" s="608">
        <v>725</v>
      </c>
      <c r="E28" s="608">
        <v>8733</v>
      </c>
      <c r="F28" s="608">
        <v>1</v>
      </c>
      <c r="G28" s="608">
        <v>0</v>
      </c>
      <c r="H28" s="608">
        <v>0</v>
      </c>
      <c r="I28" s="608">
        <v>0</v>
      </c>
      <c r="J28" s="608">
        <v>525</v>
      </c>
      <c r="K28" s="608">
        <v>2642</v>
      </c>
      <c r="L28" s="608">
        <v>989</v>
      </c>
      <c r="M28" s="608">
        <v>4919</v>
      </c>
      <c r="N28" s="608">
        <v>0</v>
      </c>
      <c r="O28" s="608">
        <v>0</v>
      </c>
      <c r="P28" s="608">
        <v>0</v>
      </c>
      <c r="Q28" s="608">
        <v>0</v>
      </c>
      <c r="R28" s="608">
        <v>0</v>
      </c>
      <c r="S28" s="608">
        <v>0</v>
      </c>
      <c r="T28" s="608">
        <v>0</v>
      </c>
      <c r="U28" s="608">
        <v>0</v>
      </c>
      <c r="V28" s="608">
        <v>0</v>
      </c>
      <c r="W28" s="608">
        <v>0</v>
      </c>
      <c r="X28" s="608">
        <v>0</v>
      </c>
      <c r="Y28" s="608">
        <v>0</v>
      </c>
      <c r="Z28" s="608">
        <v>0</v>
      </c>
      <c r="AA28" s="608">
        <v>29</v>
      </c>
      <c r="AB28" s="608">
        <v>0</v>
      </c>
      <c r="AC28" s="608">
        <v>5</v>
      </c>
      <c r="AD28" s="32">
        <f t="shared" si="0"/>
        <v>639</v>
      </c>
      <c r="AE28" s="32">
        <f t="shared" si="0"/>
        <v>3776</v>
      </c>
      <c r="AF28" s="32">
        <f t="shared" si="0"/>
        <v>1714</v>
      </c>
      <c r="AG28" s="37">
        <f t="shared" si="1"/>
        <v>168.2</v>
      </c>
      <c r="AH28" s="32">
        <f t="shared" si="2"/>
        <v>13657</v>
      </c>
      <c r="AI28" s="37">
        <f t="shared" si="3"/>
        <v>261.7</v>
      </c>
    </row>
    <row r="29" spans="1:35" ht="19.5" hidden="1" customHeight="1">
      <c r="A29" s="611" t="s">
        <v>63</v>
      </c>
      <c r="B29" s="608">
        <v>10</v>
      </c>
      <c r="C29" s="608">
        <v>78</v>
      </c>
      <c r="D29" s="608">
        <v>20</v>
      </c>
      <c r="E29" s="608">
        <v>181</v>
      </c>
      <c r="F29" s="608">
        <v>0</v>
      </c>
      <c r="G29" s="608">
        <v>0</v>
      </c>
      <c r="H29" s="608">
        <v>0</v>
      </c>
      <c r="I29" s="608">
        <v>0</v>
      </c>
      <c r="J29" s="608">
        <v>7</v>
      </c>
      <c r="K29" s="608">
        <v>39</v>
      </c>
      <c r="L29" s="608">
        <v>433</v>
      </c>
      <c r="M29" s="608">
        <v>1252</v>
      </c>
      <c r="N29" s="608">
        <v>0</v>
      </c>
      <c r="O29" s="608">
        <v>0</v>
      </c>
      <c r="P29" s="608">
        <v>0</v>
      </c>
      <c r="Q29" s="608">
        <v>0</v>
      </c>
      <c r="R29" s="608">
        <v>100</v>
      </c>
      <c r="S29" s="608">
        <v>245</v>
      </c>
      <c r="T29" s="608">
        <v>1388</v>
      </c>
      <c r="U29" s="608">
        <v>3781</v>
      </c>
      <c r="V29" s="608">
        <v>0</v>
      </c>
      <c r="W29" s="608">
        <v>0</v>
      </c>
      <c r="X29" s="608">
        <v>0</v>
      </c>
      <c r="Y29" s="608">
        <v>0</v>
      </c>
      <c r="Z29" s="608">
        <v>0</v>
      </c>
      <c r="AA29" s="608">
        <v>0</v>
      </c>
      <c r="AB29" s="608">
        <v>0</v>
      </c>
      <c r="AC29" s="608">
        <v>0</v>
      </c>
      <c r="AD29" s="32">
        <f t="shared" si="0"/>
        <v>117</v>
      </c>
      <c r="AE29" s="32">
        <f t="shared" si="0"/>
        <v>362</v>
      </c>
      <c r="AF29" s="32">
        <f t="shared" si="0"/>
        <v>1841</v>
      </c>
      <c r="AG29" s="37">
        <f t="shared" si="1"/>
        <v>1473.5</v>
      </c>
      <c r="AH29" s="32">
        <f t="shared" si="2"/>
        <v>5214</v>
      </c>
      <c r="AI29" s="37">
        <f t="shared" si="3"/>
        <v>1340.3</v>
      </c>
    </row>
    <row r="30" spans="1:35" ht="19.5" hidden="1" customHeight="1">
      <c r="A30" s="611" t="s">
        <v>67</v>
      </c>
      <c r="B30" s="608">
        <v>126</v>
      </c>
      <c r="C30" s="608">
        <v>971</v>
      </c>
      <c r="D30" s="608">
        <v>148</v>
      </c>
      <c r="E30" s="608">
        <v>1479</v>
      </c>
      <c r="F30" s="608">
        <v>0</v>
      </c>
      <c r="G30" s="608">
        <v>21</v>
      </c>
      <c r="H30" s="608">
        <v>0</v>
      </c>
      <c r="I30" s="608">
        <v>0</v>
      </c>
      <c r="J30" s="608">
        <v>564</v>
      </c>
      <c r="K30" s="608">
        <v>1614</v>
      </c>
      <c r="L30" s="608">
        <v>237</v>
      </c>
      <c r="M30" s="608">
        <v>1249</v>
      </c>
      <c r="N30" s="608">
        <v>0</v>
      </c>
      <c r="O30" s="608">
        <v>0</v>
      </c>
      <c r="P30" s="608">
        <v>0</v>
      </c>
      <c r="Q30" s="608">
        <v>0</v>
      </c>
      <c r="R30" s="608">
        <v>0</v>
      </c>
      <c r="S30" s="608">
        <v>0</v>
      </c>
      <c r="T30" s="608">
        <v>0</v>
      </c>
      <c r="U30" s="608">
        <v>0</v>
      </c>
      <c r="V30" s="608">
        <v>0</v>
      </c>
      <c r="W30" s="608">
        <v>0</v>
      </c>
      <c r="X30" s="608">
        <v>0</v>
      </c>
      <c r="Y30" s="608">
        <v>0</v>
      </c>
      <c r="Z30" s="608">
        <v>196</v>
      </c>
      <c r="AA30" s="608">
        <v>496</v>
      </c>
      <c r="AB30" s="608">
        <v>0</v>
      </c>
      <c r="AC30" s="608">
        <v>0</v>
      </c>
      <c r="AD30" s="32">
        <f t="shared" si="0"/>
        <v>886</v>
      </c>
      <c r="AE30" s="32">
        <f t="shared" si="0"/>
        <v>3102</v>
      </c>
      <c r="AF30" s="32">
        <f t="shared" si="0"/>
        <v>385</v>
      </c>
      <c r="AG30" s="37">
        <f t="shared" si="1"/>
        <v>-56.5</v>
      </c>
      <c r="AH30" s="32">
        <f t="shared" si="2"/>
        <v>2728</v>
      </c>
      <c r="AI30" s="37">
        <f t="shared" si="3"/>
        <v>-12.1</v>
      </c>
    </row>
    <row r="31" spans="1:35" ht="19.5" hidden="1" customHeight="1">
      <c r="A31" s="611" t="s">
        <v>77</v>
      </c>
      <c r="B31" s="608">
        <v>0</v>
      </c>
      <c r="C31" s="608">
        <v>2</v>
      </c>
      <c r="D31" s="608">
        <v>316</v>
      </c>
      <c r="E31" s="608">
        <v>2559</v>
      </c>
      <c r="F31" s="608">
        <v>0</v>
      </c>
      <c r="G31" s="608">
        <v>0</v>
      </c>
      <c r="H31" s="608">
        <v>0</v>
      </c>
      <c r="I31" s="608">
        <v>0</v>
      </c>
      <c r="J31" s="608">
        <v>0</v>
      </c>
      <c r="K31" s="608">
        <v>1</v>
      </c>
      <c r="L31" s="608">
        <v>1387</v>
      </c>
      <c r="M31" s="608">
        <v>4407</v>
      </c>
      <c r="N31" s="608">
        <v>0</v>
      </c>
      <c r="O31" s="608">
        <v>0</v>
      </c>
      <c r="P31" s="608">
        <v>0</v>
      </c>
      <c r="Q31" s="608">
        <v>0</v>
      </c>
      <c r="R31" s="608">
        <v>0</v>
      </c>
      <c r="S31" s="608">
        <v>0</v>
      </c>
      <c r="T31" s="608">
        <v>0</v>
      </c>
      <c r="U31" s="608">
        <v>0</v>
      </c>
      <c r="V31" s="608">
        <v>0</v>
      </c>
      <c r="W31" s="608">
        <v>0</v>
      </c>
      <c r="X31" s="608">
        <v>0</v>
      </c>
      <c r="Y31" s="608">
        <v>0</v>
      </c>
      <c r="Z31" s="608">
        <v>0</v>
      </c>
      <c r="AA31" s="608">
        <v>0</v>
      </c>
      <c r="AB31" s="608">
        <v>0</v>
      </c>
      <c r="AC31" s="608">
        <v>0</v>
      </c>
      <c r="AD31" s="32">
        <f t="shared" si="0"/>
        <v>0</v>
      </c>
      <c r="AE31" s="32">
        <f t="shared" si="0"/>
        <v>3</v>
      </c>
      <c r="AF31" s="32">
        <f t="shared" si="0"/>
        <v>1703</v>
      </c>
      <c r="AG31" s="37" t="e">
        <f t="shared" si="1"/>
        <v>#DIV/0!</v>
      </c>
      <c r="AH31" s="32">
        <f t="shared" si="2"/>
        <v>6966</v>
      </c>
      <c r="AI31" s="37">
        <f t="shared" si="3"/>
        <v>232100</v>
      </c>
    </row>
    <row r="32" spans="1:35" ht="19.5" hidden="1" customHeight="1">
      <c r="A32" s="610" t="s">
        <v>510</v>
      </c>
      <c r="B32" s="608">
        <v>35</v>
      </c>
      <c r="C32" s="608">
        <v>245</v>
      </c>
      <c r="D32" s="608">
        <v>19</v>
      </c>
      <c r="E32" s="608">
        <v>149</v>
      </c>
      <c r="F32" s="608">
        <v>0</v>
      </c>
      <c r="G32" s="608">
        <v>0</v>
      </c>
      <c r="H32" s="608">
        <v>0</v>
      </c>
      <c r="I32" s="608">
        <v>0</v>
      </c>
      <c r="J32" s="608">
        <v>387</v>
      </c>
      <c r="K32" s="608">
        <v>857</v>
      </c>
      <c r="L32" s="608">
        <v>967</v>
      </c>
      <c r="M32" s="608">
        <v>2526</v>
      </c>
      <c r="N32" s="608">
        <v>0</v>
      </c>
      <c r="O32" s="608">
        <v>0</v>
      </c>
      <c r="P32" s="608">
        <v>0</v>
      </c>
      <c r="Q32" s="608">
        <v>0</v>
      </c>
      <c r="R32" s="608">
        <v>50</v>
      </c>
      <c r="S32" s="608">
        <v>123</v>
      </c>
      <c r="T32" s="608">
        <v>0</v>
      </c>
      <c r="U32" s="608">
        <v>0</v>
      </c>
      <c r="V32" s="608">
        <v>0</v>
      </c>
      <c r="W32" s="608">
        <v>0</v>
      </c>
      <c r="X32" s="608">
        <v>0</v>
      </c>
      <c r="Y32" s="608">
        <v>0</v>
      </c>
      <c r="Z32" s="608">
        <v>0</v>
      </c>
      <c r="AA32" s="608">
        <v>0</v>
      </c>
      <c r="AB32" s="608">
        <v>0</v>
      </c>
      <c r="AC32" s="608">
        <v>1</v>
      </c>
      <c r="AD32" s="32">
        <f t="shared" si="0"/>
        <v>472</v>
      </c>
      <c r="AE32" s="32">
        <f t="shared" si="0"/>
        <v>1225</v>
      </c>
      <c r="AF32" s="32">
        <f t="shared" si="0"/>
        <v>986</v>
      </c>
      <c r="AG32" s="37">
        <f t="shared" si="1"/>
        <v>108.9</v>
      </c>
      <c r="AH32" s="32">
        <f t="shared" si="2"/>
        <v>2676</v>
      </c>
      <c r="AI32" s="37">
        <f t="shared" si="3"/>
        <v>118.4</v>
      </c>
    </row>
    <row r="33" spans="1:35" ht="19.5" hidden="1" customHeight="1">
      <c r="A33" s="611" t="s">
        <v>81</v>
      </c>
      <c r="B33" s="608">
        <v>0</v>
      </c>
      <c r="C33" s="608">
        <v>0</v>
      </c>
      <c r="D33" s="608">
        <v>0</v>
      </c>
      <c r="E33" s="608">
        <v>0</v>
      </c>
      <c r="F33" s="608">
        <v>0</v>
      </c>
      <c r="G33" s="608">
        <v>0</v>
      </c>
      <c r="H33" s="608">
        <v>0</v>
      </c>
      <c r="I33" s="608">
        <v>0</v>
      </c>
      <c r="J33" s="608">
        <v>380</v>
      </c>
      <c r="K33" s="608">
        <v>861</v>
      </c>
      <c r="L33" s="608">
        <v>1287</v>
      </c>
      <c r="M33" s="608">
        <v>3265</v>
      </c>
      <c r="N33" s="608">
        <v>0</v>
      </c>
      <c r="O33" s="608">
        <v>0</v>
      </c>
      <c r="P33" s="608">
        <v>0</v>
      </c>
      <c r="Q33" s="608">
        <v>0</v>
      </c>
      <c r="R33" s="608">
        <v>0</v>
      </c>
      <c r="S33" s="608">
        <v>0</v>
      </c>
      <c r="T33" s="608">
        <v>0</v>
      </c>
      <c r="U33" s="608">
        <v>0</v>
      </c>
      <c r="V33" s="608">
        <v>0</v>
      </c>
      <c r="W33" s="608">
        <v>0</v>
      </c>
      <c r="X33" s="608">
        <v>0</v>
      </c>
      <c r="Y33" s="608">
        <v>0</v>
      </c>
      <c r="Z33" s="608">
        <v>0</v>
      </c>
      <c r="AA33" s="608">
        <v>0</v>
      </c>
      <c r="AB33" s="608">
        <v>0</v>
      </c>
      <c r="AC33" s="608">
        <v>0</v>
      </c>
      <c r="AD33" s="32">
        <f t="shared" si="0"/>
        <v>380</v>
      </c>
      <c r="AE33" s="32">
        <f t="shared" si="0"/>
        <v>861</v>
      </c>
      <c r="AF33" s="32">
        <f t="shared" si="0"/>
        <v>1287</v>
      </c>
      <c r="AG33" s="37">
        <f t="shared" si="1"/>
        <v>238.7</v>
      </c>
      <c r="AH33" s="32">
        <f t="shared" si="2"/>
        <v>3265</v>
      </c>
      <c r="AI33" s="37">
        <f t="shared" si="3"/>
        <v>279.2</v>
      </c>
    </row>
    <row r="34" spans="1:35" ht="19.5" hidden="1" customHeight="1">
      <c r="A34" s="610" t="s">
        <v>59</v>
      </c>
      <c r="B34" s="608">
        <v>119</v>
      </c>
      <c r="C34" s="608">
        <v>1133</v>
      </c>
      <c r="D34" s="608">
        <v>432</v>
      </c>
      <c r="E34" s="608">
        <v>3347</v>
      </c>
      <c r="F34" s="608">
        <v>6</v>
      </c>
      <c r="G34" s="608">
        <v>52</v>
      </c>
      <c r="H34" s="608">
        <v>9</v>
      </c>
      <c r="I34" s="608">
        <v>124</v>
      </c>
      <c r="J34" s="608">
        <v>353</v>
      </c>
      <c r="K34" s="608">
        <v>1507</v>
      </c>
      <c r="L34" s="608">
        <v>317</v>
      </c>
      <c r="M34" s="608">
        <v>1394</v>
      </c>
      <c r="N34" s="608">
        <v>0</v>
      </c>
      <c r="O34" s="608">
        <v>0</v>
      </c>
      <c r="P34" s="608">
        <v>0</v>
      </c>
      <c r="Q34" s="608">
        <v>0</v>
      </c>
      <c r="R34" s="608">
        <v>101</v>
      </c>
      <c r="S34" s="608">
        <v>280</v>
      </c>
      <c r="T34" s="608">
        <v>101</v>
      </c>
      <c r="U34" s="608">
        <v>321</v>
      </c>
      <c r="V34" s="608">
        <v>0</v>
      </c>
      <c r="W34" s="608">
        <v>4</v>
      </c>
      <c r="X34" s="608">
        <v>0</v>
      </c>
      <c r="Y34" s="608">
        <v>0</v>
      </c>
      <c r="Z34" s="608">
        <v>0</v>
      </c>
      <c r="AA34" s="608">
        <v>85</v>
      </c>
      <c r="AB34" s="608">
        <v>63</v>
      </c>
      <c r="AC34" s="608">
        <v>231</v>
      </c>
      <c r="AD34" s="32">
        <f t="shared" si="0"/>
        <v>579</v>
      </c>
      <c r="AE34" s="32">
        <f t="shared" si="0"/>
        <v>3061</v>
      </c>
      <c r="AF34" s="32">
        <f t="shared" si="0"/>
        <v>922</v>
      </c>
      <c r="AG34" s="37">
        <f t="shared" si="1"/>
        <v>59.2</v>
      </c>
      <c r="AH34" s="32">
        <f t="shared" si="2"/>
        <v>5417</v>
      </c>
      <c r="AI34" s="37">
        <f t="shared" si="3"/>
        <v>77</v>
      </c>
    </row>
    <row r="35" spans="1:35" ht="19.5" hidden="1" customHeight="1">
      <c r="A35" s="610" t="s">
        <v>506</v>
      </c>
      <c r="B35" s="608">
        <v>20</v>
      </c>
      <c r="C35" s="608">
        <v>125</v>
      </c>
      <c r="D35" s="608">
        <v>5</v>
      </c>
      <c r="E35" s="608">
        <v>48</v>
      </c>
      <c r="F35" s="608">
        <v>0</v>
      </c>
      <c r="G35" s="608">
        <v>0</v>
      </c>
      <c r="H35" s="608">
        <v>0</v>
      </c>
      <c r="I35" s="608">
        <v>0</v>
      </c>
      <c r="J35" s="608">
        <v>581</v>
      </c>
      <c r="K35" s="608">
        <v>1376</v>
      </c>
      <c r="L35" s="608">
        <v>473</v>
      </c>
      <c r="M35" s="608">
        <v>1064</v>
      </c>
      <c r="N35" s="608">
        <v>24</v>
      </c>
      <c r="O35" s="608">
        <v>51</v>
      </c>
      <c r="P35" s="608">
        <v>0</v>
      </c>
      <c r="Q35" s="608">
        <v>0</v>
      </c>
      <c r="R35" s="608">
        <v>0</v>
      </c>
      <c r="S35" s="608">
        <v>0</v>
      </c>
      <c r="T35" s="608">
        <v>0</v>
      </c>
      <c r="U35" s="608">
        <v>0</v>
      </c>
      <c r="V35" s="608">
        <v>0</v>
      </c>
      <c r="W35" s="608">
        <v>0</v>
      </c>
      <c r="X35" s="608">
        <v>15</v>
      </c>
      <c r="Y35" s="608">
        <v>282</v>
      </c>
      <c r="Z35" s="608">
        <v>0</v>
      </c>
      <c r="AA35" s="608">
        <v>0</v>
      </c>
      <c r="AB35" s="608">
        <v>0</v>
      </c>
      <c r="AC35" s="608">
        <v>0</v>
      </c>
      <c r="AD35" s="32">
        <f t="shared" si="0"/>
        <v>625</v>
      </c>
      <c r="AE35" s="32">
        <f t="shared" si="0"/>
        <v>1552</v>
      </c>
      <c r="AF35" s="32">
        <f t="shared" si="0"/>
        <v>493</v>
      </c>
      <c r="AG35" s="37">
        <f t="shared" si="1"/>
        <v>-21.1</v>
      </c>
      <c r="AH35" s="32">
        <f t="shared" si="2"/>
        <v>1394</v>
      </c>
      <c r="AI35" s="37">
        <f t="shared" si="3"/>
        <v>-10.199999999999999</v>
      </c>
    </row>
    <row r="36" spans="1:35" ht="19.5" hidden="1" customHeight="1">
      <c r="A36" s="611" t="s">
        <v>83</v>
      </c>
      <c r="B36" s="608">
        <v>132</v>
      </c>
      <c r="C36" s="608">
        <v>942</v>
      </c>
      <c r="D36" s="608">
        <v>290</v>
      </c>
      <c r="E36" s="608">
        <v>2394</v>
      </c>
      <c r="F36" s="608">
        <v>0</v>
      </c>
      <c r="G36" s="608">
        <v>0</v>
      </c>
      <c r="H36" s="608">
        <v>0</v>
      </c>
      <c r="I36" s="608">
        <v>0</v>
      </c>
      <c r="J36" s="608">
        <v>489</v>
      </c>
      <c r="K36" s="608">
        <v>1175</v>
      </c>
      <c r="L36" s="608">
        <v>300</v>
      </c>
      <c r="M36" s="608">
        <v>831</v>
      </c>
      <c r="N36" s="608">
        <v>0</v>
      </c>
      <c r="O36" s="608">
        <v>0</v>
      </c>
      <c r="P36" s="608">
        <v>0</v>
      </c>
      <c r="Q36" s="608">
        <v>0</v>
      </c>
      <c r="R36" s="608">
        <v>0</v>
      </c>
      <c r="S36" s="608">
        <v>0</v>
      </c>
      <c r="T36" s="608">
        <v>0</v>
      </c>
      <c r="U36" s="608">
        <v>0</v>
      </c>
      <c r="V36" s="608">
        <v>0</v>
      </c>
      <c r="W36" s="608">
        <v>0</v>
      </c>
      <c r="X36" s="608">
        <v>0</v>
      </c>
      <c r="Y36" s="608">
        <v>0</v>
      </c>
      <c r="Z36" s="608">
        <v>0</v>
      </c>
      <c r="AA36" s="608">
        <v>0</v>
      </c>
      <c r="AB36" s="608">
        <v>0</v>
      </c>
      <c r="AC36" s="608">
        <v>0</v>
      </c>
      <c r="AD36" s="32">
        <f t="shared" si="0"/>
        <v>621</v>
      </c>
      <c r="AE36" s="32">
        <f t="shared" si="0"/>
        <v>2117</v>
      </c>
      <c r="AF36" s="32">
        <f t="shared" si="0"/>
        <v>590</v>
      </c>
      <c r="AG36" s="37">
        <f t="shared" si="1"/>
        <v>-5</v>
      </c>
      <c r="AH36" s="32">
        <f t="shared" si="2"/>
        <v>3225</v>
      </c>
      <c r="AI36" s="37">
        <f t="shared" si="3"/>
        <v>52.3</v>
      </c>
    </row>
    <row r="37" spans="1:35" ht="19.5" hidden="1" customHeight="1">
      <c r="A37" s="611" t="s">
        <v>511</v>
      </c>
      <c r="B37" s="608">
        <v>0</v>
      </c>
      <c r="C37" s="608">
        <v>0</v>
      </c>
      <c r="D37" s="608">
        <v>0</v>
      </c>
      <c r="E37" s="608">
        <v>0</v>
      </c>
      <c r="F37" s="608">
        <v>0</v>
      </c>
      <c r="G37" s="608">
        <v>0</v>
      </c>
      <c r="H37" s="608">
        <v>0</v>
      </c>
      <c r="I37" s="608">
        <v>0</v>
      </c>
      <c r="J37" s="608">
        <v>0</v>
      </c>
      <c r="K37" s="608">
        <v>0</v>
      </c>
      <c r="L37" s="608">
        <v>90</v>
      </c>
      <c r="M37" s="608">
        <v>201</v>
      </c>
      <c r="N37" s="608">
        <v>0</v>
      </c>
      <c r="O37" s="608">
        <v>0</v>
      </c>
      <c r="P37" s="608">
        <v>0</v>
      </c>
      <c r="Q37" s="608">
        <v>0</v>
      </c>
      <c r="R37" s="608">
        <v>101</v>
      </c>
      <c r="S37" s="608">
        <v>250</v>
      </c>
      <c r="T37" s="608">
        <v>0</v>
      </c>
      <c r="U37" s="608">
        <v>0</v>
      </c>
      <c r="V37" s="608">
        <v>0</v>
      </c>
      <c r="W37" s="608">
        <v>0</v>
      </c>
      <c r="X37" s="608">
        <v>0</v>
      </c>
      <c r="Y37" s="608">
        <v>0</v>
      </c>
      <c r="Z37" s="608">
        <v>0</v>
      </c>
      <c r="AA37" s="608">
        <v>0</v>
      </c>
      <c r="AB37" s="608">
        <v>0</v>
      </c>
      <c r="AC37" s="608">
        <v>0</v>
      </c>
      <c r="AD37" s="32">
        <f t="shared" si="0"/>
        <v>101</v>
      </c>
      <c r="AE37" s="32">
        <f t="shared" si="0"/>
        <v>250</v>
      </c>
      <c r="AF37" s="32">
        <f t="shared" si="0"/>
        <v>90</v>
      </c>
      <c r="AG37" s="37">
        <f t="shared" si="1"/>
        <v>-10.9</v>
      </c>
      <c r="AH37" s="32">
        <f t="shared" si="2"/>
        <v>201</v>
      </c>
      <c r="AI37" s="37">
        <f t="shared" si="3"/>
        <v>-19.600000000000001</v>
      </c>
    </row>
    <row r="38" spans="1:35" ht="19.5" hidden="1" customHeight="1">
      <c r="A38" s="30" t="s">
        <v>71</v>
      </c>
      <c r="B38" s="33">
        <f>B39-SUM(B8:B37)</f>
        <v>1257</v>
      </c>
      <c r="C38" s="33">
        <f t="shared" ref="C38:G38" si="4">C39-SUM(C8:C37)</f>
        <v>10911</v>
      </c>
      <c r="D38" s="33">
        <f t="shared" si="4"/>
        <v>1064</v>
      </c>
      <c r="E38" s="33">
        <f t="shared" si="4"/>
        <v>11336</v>
      </c>
      <c r="F38" s="33">
        <f t="shared" si="4"/>
        <v>139</v>
      </c>
      <c r="G38" s="33">
        <f t="shared" si="4"/>
        <v>1678</v>
      </c>
      <c r="H38" s="33">
        <f t="shared" ref="H38" si="5">H39-SUM(H8:H37)</f>
        <v>185</v>
      </c>
      <c r="I38" s="33">
        <f t="shared" ref="I38" si="6">I39-SUM(I8:I37)</f>
        <v>2914</v>
      </c>
      <c r="J38" s="33">
        <f t="shared" ref="J38" si="7">J39-SUM(J8:J37)</f>
        <v>4256</v>
      </c>
      <c r="K38" s="33">
        <f t="shared" ref="K38" si="8">K39-SUM(K8:K37)</f>
        <v>16129</v>
      </c>
      <c r="L38" s="33">
        <f t="shared" ref="L38" si="9">L39-SUM(L8:L37)</f>
        <v>4350</v>
      </c>
      <c r="M38" s="33">
        <f t="shared" ref="M38" si="10">M39-SUM(M8:M37)</f>
        <v>17891</v>
      </c>
      <c r="N38" s="33">
        <f t="shared" ref="N38" si="11">N39-SUM(N8:N37)</f>
        <v>387</v>
      </c>
      <c r="O38" s="33">
        <f t="shared" ref="O38" si="12">O39-SUM(O8:O37)</f>
        <v>906</v>
      </c>
      <c r="P38" s="33">
        <f t="shared" ref="P38" si="13">P39-SUM(P8:P37)</f>
        <v>99</v>
      </c>
      <c r="Q38" s="33">
        <f t="shared" ref="Q38" si="14">Q39-SUM(Q8:Q37)</f>
        <v>210</v>
      </c>
      <c r="R38" s="33">
        <f t="shared" ref="R38" si="15">R39-SUM(R8:R37)</f>
        <v>1843</v>
      </c>
      <c r="S38" s="33">
        <f t="shared" ref="S38" si="16">S39-SUM(S8:S37)</f>
        <v>4708</v>
      </c>
      <c r="T38" s="33">
        <f t="shared" ref="T38" si="17">T39-SUM(T8:T37)</f>
        <v>725</v>
      </c>
      <c r="U38" s="33">
        <f t="shared" ref="U38" si="18">U39-SUM(U8:U37)</f>
        <v>2120</v>
      </c>
      <c r="V38" s="33">
        <f t="shared" ref="V38" si="19">V39-SUM(V8:V37)</f>
        <v>5</v>
      </c>
      <c r="W38" s="33">
        <f t="shared" ref="W38" si="20">W39-SUM(W8:W37)</f>
        <v>48</v>
      </c>
      <c r="X38" s="33">
        <f t="shared" ref="X38" si="21">X39-SUM(X8:X37)</f>
        <v>2</v>
      </c>
      <c r="Y38" s="33">
        <f t="shared" ref="Y38" si="22">Y39-SUM(Y8:Y37)</f>
        <v>15</v>
      </c>
      <c r="Z38" s="33">
        <f t="shared" ref="Z38" si="23">Z39-SUM(Z8:Z37)</f>
        <v>146</v>
      </c>
      <c r="AA38" s="33">
        <f t="shared" ref="AA38" si="24">AA39-SUM(AA8:AA37)</f>
        <v>2163</v>
      </c>
      <c r="AB38" s="33">
        <f t="shared" ref="AB38" si="25">AB39-SUM(AB8:AB37)</f>
        <v>168</v>
      </c>
      <c r="AC38" s="33">
        <f t="shared" ref="AC38" si="26">AC39-SUM(AC8:AC37)</f>
        <v>2756</v>
      </c>
      <c r="AD38" s="33">
        <f>AD39-SUM(AD8:AD37)</f>
        <v>8033</v>
      </c>
      <c r="AE38" s="33">
        <f>AE39-SUM(AE8:AE37)</f>
        <v>36543</v>
      </c>
      <c r="AF38" s="33">
        <f>AF39-SUM(AF8:AF37)</f>
        <v>6593</v>
      </c>
      <c r="AG38" s="37">
        <f t="shared" si="1"/>
        <v>-17.899999999999999</v>
      </c>
      <c r="AH38" s="33">
        <f>AH39-SUM(AH8:AH37)</f>
        <v>37242</v>
      </c>
      <c r="AI38" s="38">
        <f t="shared" si="3"/>
        <v>1.9</v>
      </c>
    </row>
    <row r="39" spans="1:35" ht="19.5" hidden="1" customHeight="1">
      <c r="A39" s="371" t="s">
        <v>72</v>
      </c>
      <c r="B39" s="609">
        <v>52369</v>
      </c>
      <c r="C39" s="609">
        <v>350472</v>
      </c>
      <c r="D39" s="609">
        <v>56276</v>
      </c>
      <c r="E39" s="609">
        <v>478744</v>
      </c>
      <c r="F39" s="609">
        <v>1072</v>
      </c>
      <c r="G39" s="368">
        <v>10355</v>
      </c>
      <c r="H39" s="609">
        <v>1355</v>
      </c>
      <c r="I39" s="609">
        <v>14003</v>
      </c>
      <c r="J39" s="609">
        <v>94522</v>
      </c>
      <c r="K39" s="609">
        <v>291976</v>
      </c>
      <c r="L39" s="609">
        <v>97834</v>
      </c>
      <c r="M39" s="609">
        <v>337539</v>
      </c>
      <c r="N39" s="609">
        <v>35488</v>
      </c>
      <c r="O39" s="609">
        <v>74823</v>
      </c>
      <c r="P39" s="609">
        <v>22133</v>
      </c>
      <c r="Q39" s="609">
        <v>49106</v>
      </c>
      <c r="R39" s="609">
        <v>47366</v>
      </c>
      <c r="S39" s="609">
        <v>114740</v>
      </c>
      <c r="T39" s="609">
        <v>43407</v>
      </c>
      <c r="U39" s="609">
        <v>123022</v>
      </c>
      <c r="V39" s="609">
        <v>93</v>
      </c>
      <c r="W39" s="609">
        <v>2685</v>
      </c>
      <c r="X39" s="609">
        <v>147</v>
      </c>
      <c r="Y39" s="609">
        <v>4361</v>
      </c>
      <c r="Z39" s="609">
        <v>1484</v>
      </c>
      <c r="AA39" s="368">
        <v>19506</v>
      </c>
      <c r="AB39" s="609">
        <v>960</v>
      </c>
      <c r="AC39" s="609">
        <v>19370</v>
      </c>
      <c r="AD39" s="35">
        <f>SUM(B39+F39+J39+N39+R39+V39+Z39)</f>
        <v>232394</v>
      </c>
      <c r="AE39" s="35">
        <f>SUM(C39+G39+K39+O39+S39+W39+AA39)</f>
        <v>864557</v>
      </c>
      <c r="AF39" s="35">
        <f>SUM(D39+H39+L39+P39+T39+X39+AB39)</f>
        <v>222112</v>
      </c>
      <c r="AG39" s="220">
        <f t="shared" si="1"/>
        <v>-4.4000000000000004</v>
      </c>
      <c r="AH39" s="35">
        <f>SUM(E39+I39+M39+Q39+U39+Y39+AC39)</f>
        <v>1026145</v>
      </c>
      <c r="AI39" s="38">
        <f t="shared" si="3"/>
        <v>18.7</v>
      </c>
    </row>
    <row r="40" spans="1:35" hidden="1"/>
    <row r="41" spans="1:35" ht="22.5" hidden="1" customHeight="1">
      <c r="A41" s="736" t="s">
        <v>572</v>
      </c>
      <c r="B41" s="736"/>
      <c r="C41" s="736"/>
      <c r="D41" s="736"/>
      <c r="E41" s="736"/>
      <c r="F41" s="736"/>
      <c r="G41" s="736"/>
      <c r="H41" s="736"/>
      <c r="I41" s="736"/>
      <c r="J41" s="736"/>
      <c r="K41" s="736"/>
      <c r="L41" s="736"/>
      <c r="M41" s="736"/>
      <c r="N41" s="736"/>
      <c r="O41" s="736"/>
      <c r="P41" s="736"/>
      <c r="Q41" s="736"/>
      <c r="R41" s="736"/>
      <c r="S41" s="736"/>
      <c r="T41" s="736"/>
      <c r="U41" s="736"/>
      <c r="V41" s="736"/>
      <c r="W41" s="736"/>
      <c r="X41" s="736"/>
      <c r="Y41" s="736"/>
      <c r="Z41" s="736"/>
      <c r="AA41" s="736"/>
      <c r="AB41" s="736"/>
      <c r="AC41" s="736"/>
      <c r="AD41" s="736"/>
      <c r="AE41" s="736"/>
      <c r="AF41" s="736"/>
      <c r="AG41" s="736"/>
      <c r="AH41" s="736"/>
      <c r="AI41" s="736"/>
    </row>
    <row r="42" spans="1:35" ht="16.5" hidden="1" customHeight="1">
      <c r="B42" s="21"/>
      <c r="E42" s="21"/>
    </row>
    <row r="43" spans="1:35" ht="16.5" hidden="1" customHeight="1">
      <c r="A43" s="23"/>
      <c r="B43" s="24"/>
      <c r="C43" s="24"/>
      <c r="D43" s="24"/>
      <c r="E43" s="24"/>
      <c r="F43" s="24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2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6" t="s">
        <v>0</v>
      </c>
    </row>
    <row r="44" spans="1:35" ht="21.75" hidden="1" customHeight="1">
      <c r="A44" s="758" t="s">
        <v>36</v>
      </c>
      <c r="B44" s="765" t="s">
        <v>463</v>
      </c>
      <c r="C44" s="766"/>
      <c r="D44" s="766"/>
      <c r="E44" s="767"/>
      <c r="F44" s="765" t="s">
        <v>464</v>
      </c>
      <c r="G44" s="766"/>
      <c r="H44" s="766"/>
      <c r="I44" s="767"/>
      <c r="J44" s="765" t="s">
        <v>465</v>
      </c>
      <c r="K44" s="766"/>
      <c r="L44" s="766"/>
      <c r="M44" s="767"/>
      <c r="N44" s="765" t="s">
        <v>466</v>
      </c>
      <c r="O44" s="766"/>
      <c r="P44" s="766"/>
      <c r="Q44" s="767"/>
      <c r="R44" s="765" t="s">
        <v>467</v>
      </c>
      <c r="S44" s="766"/>
      <c r="T44" s="766"/>
      <c r="U44" s="767"/>
      <c r="V44" s="765" t="s">
        <v>468</v>
      </c>
      <c r="W44" s="766"/>
      <c r="X44" s="766"/>
      <c r="Y44" s="767"/>
      <c r="Z44" s="765" t="s">
        <v>469</v>
      </c>
      <c r="AA44" s="766"/>
      <c r="AB44" s="766"/>
      <c r="AC44" s="767"/>
      <c r="AD44" s="765" t="s">
        <v>470</v>
      </c>
      <c r="AE44" s="766"/>
      <c r="AF44" s="766"/>
      <c r="AG44" s="766"/>
      <c r="AH44" s="766"/>
      <c r="AI44" s="767"/>
    </row>
    <row r="45" spans="1:35" ht="21" hidden="1" customHeight="1">
      <c r="A45" s="836"/>
      <c r="B45" s="765" t="s">
        <v>431</v>
      </c>
      <c r="C45" s="767"/>
      <c r="D45" s="765" t="s">
        <v>503</v>
      </c>
      <c r="E45" s="767"/>
      <c r="F45" s="765" t="s">
        <v>431</v>
      </c>
      <c r="G45" s="767"/>
      <c r="H45" s="765" t="s">
        <v>503</v>
      </c>
      <c r="I45" s="767"/>
      <c r="J45" s="765" t="s">
        <v>431</v>
      </c>
      <c r="K45" s="767"/>
      <c r="L45" s="765" t="s">
        <v>503</v>
      </c>
      <c r="M45" s="767"/>
      <c r="N45" s="765" t="s">
        <v>431</v>
      </c>
      <c r="O45" s="767"/>
      <c r="P45" s="765" t="s">
        <v>503</v>
      </c>
      <c r="Q45" s="767"/>
      <c r="R45" s="765" t="s">
        <v>431</v>
      </c>
      <c r="S45" s="767"/>
      <c r="T45" s="765" t="s">
        <v>503</v>
      </c>
      <c r="U45" s="767"/>
      <c r="V45" s="765" t="s">
        <v>431</v>
      </c>
      <c r="W45" s="767"/>
      <c r="X45" s="765" t="s">
        <v>503</v>
      </c>
      <c r="Y45" s="767"/>
      <c r="Z45" s="765" t="s">
        <v>431</v>
      </c>
      <c r="AA45" s="767"/>
      <c r="AB45" s="765" t="s">
        <v>503</v>
      </c>
      <c r="AC45" s="767"/>
      <c r="AD45" s="765" t="s">
        <v>431</v>
      </c>
      <c r="AE45" s="767"/>
      <c r="AF45" s="765" t="s">
        <v>503</v>
      </c>
      <c r="AG45" s="766"/>
      <c r="AH45" s="766"/>
      <c r="AI45" s="767"/>
    </row>
    <row r="46" spans="1:35" hidden="1">
      <c r="A46" s="836"/>
      <c r="B46" s="758" t="s">
        <v>37</v>
      </c>
      <c r="C46" s="758" t="s">
        <v>38</v>
      </c>
      <c r="D46" s="758" t="s">
        <v>39</v>
      </c>
      <c r="E46" s="758" t="s">
        <v>38</v>
      </c>
      <c r="F46" s="758" t="s">
        <v>40</v>
      </c>
      <c r="G46" s="758" t="s">
        <v>38</v>
      </c>
      <c r="H46" s="758" t="s">
        <v>39</v>
      </c>
      <c r="I46" s="758" t="s">
        <v>38</v>
      </c>
      <c r="J46" s="758" t="s">
        <v>37</v>
      </c>
      <c r="K46" s="758" t="s">
        <v>38</v>
      </c>
      <c r="L46" s="758" t="s">
        <v>39</v>
      </c>
      <c r="M46" s="758" t="s">
        <v>38</v>
      </c>
      <c r="N46" s="758" t="s">
        <v>37</v>
      </c>
      <c r="O46" s="758" t="s">
        <v>38</v>
      </c>
      <c r="P46" s="758" t="s">
        <v>39</v>
      </c>
      <c r="Q46" s="758" t="s">
        <v>38</v>
      </c>
      <c r="R46" s="758" t="s">
        <v>37</v>
      </c>
      <c r="S46" s="758" t="s">
        <v>38</v>
      </c>
      <c r="T46" s="758" t="s">
        <v>39</v>
      </c>
      <c r="U46" s="758" t="s">
        <v>38</v>
      </c>
      <c r="V46" s="758" t="s">
        <v>37</v>
      </c>
      <c r="W46" s="758" t="s">
        <v>38</v>
      </c>
      <c r="X46" s="758" t="s">
        <v>41</v>
      </c>
      <c r="Y46" s="758" t="s">
        <v>38</v>
      </c>
      <c r="Z46" s="758" t="s">
        <v>37</v>
      </c>
      <c r="AA46" s="758" t="s">
        <v>38</v>
      </c>
      <c r="AB46" s="758" t="s">
        <v>39</v>
      </c>
      <c r="AC46" s="758" t="s">
        <v>38</v>
      </c>
      <c r="AD46" s="758" t="s">
        <v>37</v>
      </c>
      <c r="AE46" s="758" t="s">
        <v>38</v>
      </c>
      <c r="AF46" s="772" t="s">
        <v>39</v>
      </c>
      <c r="AG46" s="27"/>
      <c r="AH46" s="772" t="s">
        <v>38</v>
      </c>
      <c r="AI46" s="27"/>
    </row>
    <row r="47" spans="1:35" ht="17.25" hidden="1" thickBot="1">
      <c r="A47" s="835"/>
      <c r="B47" s="835"/>
      <c r="C47" s="835"/>
      <c r="D47" s="835"/>
      <c r="E47" s="835"/>
      <c r="F47" s="835"/>
      <c r="G47" s="835"/>
      <c r="H47" s="835"/>
      <c r="I47" s="835"/>
      <c r="J47" s="835"/>
      <c r="K47" s="835"/>
      <c r="L47" s="835"/>
      <c r="M47" s="835"/>
      <c r="N47" s="835"/>
      <c r="O47" s="835"/>
      <c r="P47" s="835"/>
      <c r="Q47" s="835"/>
      <c r="R47" s="835"/>
      <c r="S47" s="835"/>
      <c r="T47" s="835"/>
      <c r="U47" s="835"/>
      <c r="V47" s="835"/>
      <c r="W47" s="835"/>
      <c r="X47" s="835"/>
      <c r="Y47" s="835"/>
      <c r="Z47" s="835"/>
      <c r="AA47" s="835"/>
      <c r="AB47" s="835"/>
      <c r="AC47" s="835"/>
      <c r="AD47" s="835"/>
      <c r="AE47" s="835"/>
      <c r="AF47" s="834"/>
      <c r="AG47" s="28" t="s">
        <v>42</v>
      </c>
      <c r="AH47" s="834"/>
      <c r="AI47" s="28" t="s">
        <v>42</v>
      </c>
    </row>
    <row r="48" spans="1:35" ht="19.5" hidden="1" customHeight="1" thickTop="1">
      <c r="A48" s="611" t="s">
        <v>43</v>
      </c>
      <c r="B48" s="40">
        <v>32959</v>
      </c>
      <c r="C48" s="40">
        <v>231594</v>
      </c>
      <c r="D48" s="40">
        <v>50016</v>
      </c>
      <c r="E48" s="40">
        <v>417039</v>
      </c>
      <c r="F48" s="40">
        <v>422</v>
      </c>
      <c r="G48" s="40">
        <v>3889</v>
      </c>
      <c r="H48" s="40">
        <v>905</v>
      </c>
      <c r="I48" s="40">
        <v>6124</v>
      </c>
      <c r="J48" s="40">
        <v>40676</v>
      </c>
      <c r="K48" s="40">
        <v>109388</v>
      </c>
      <c r="L48" s="40">
        <v>34612</v>
      </c>
      <c r="M48" s="40">
        <v>114746</v>
      </c>
      <c r="N48" s="40">
        <v>1140</v>
      </c>
      <c r="O48" s="40">
        <v>2705</v>
      </c>
      <c r="P48" s="40">
        <v>127</v>
      </c>
      <c r="Q48" s="40">
        <v>312</v>
      </c>
      <c r="R48" s="40">
        <v>4644</v>
      </c>
      <c r="S48" s="40">
        <v>11554</v>
      </c>
      <c r="T48" s="40">
        <v>9264</v>
      </c>
      <c r="U48" s="40">
        <v>26077</v>
      </c>
      <c r="V48" s="40">
        <v>42</v>
      </c>
      <c r="W48" s="40">
        <v>1363</v>
      </c>
      <c r="X48" s="40">
        <v>57</v>
      </c>
      <c r="Y48" s="40">
        <v>1882</v>
      </c>
      <c r="Z48" s="40">
        <v>842</v>
      </c>
      <c r="AA48" s="40">
        <v>10662</v>
      </c>
      <c r="AB48" s="40">
        <v>308</v>
      </c>
      <c r="AC48" s="40">
        <v>13316</v>
      </c>
      <c r="AD48" s="32">
        <f t="shared" ref="AD48:AD77" si="27">SUM(B48+F48+J48+N48+R48+V48+Z48)</f>
        <v>80725</v>
      </c>
      <c r="AE48" s="32">
        <f>SUM(C48+G48+K48+O48+S48+W48+AA48)</f>
        <v>371155</v>
      </c>
      <c r="AF48" s="32">
        <f>SUM(D48+H48+L48+P48+T48+X48+AB48)</f>
        <v>95289</v>
      </c>
      <c r="AG48" s="37">
        <f>ROUND(((AF48/AD48-1)*100),1)</f>
        <v>18</v>
      </c>
      <c r="AH48" s="32">
        <f>SUM(E48+I48+M48+Q48+U48+Y48+AC48)</f>
        <v>579496</v>
      </c>
      <c r="AI48" s="37">
        <f>ROUND(((AH48/AE48-1)*100),1)</f>
        <v>56.1</v>
      </c>
    </row>
    <row r="49" spans="1:35" ht="19.5" hidden="1" customHeight="1">
      <c r="A49" s="611" t="s">
        <v>44</v>
      </c>
      <c r="B49" s="608">
        <v>11012</v>
      </c>
      <c r="C49" s="608">
        <v>84711</v>
      </c>
      <c r="D49" s="608">
        <v>12291</v>
      </c>
      <c r="E49" s="608">
        <v>116854</v>
      </c>
      <c r="F49" s="608">
        <v>47</v>
      </c>
      <c r="G49" s="608">
        <v>1869</v>
      </c>
      <c r="H49" s="608">
        <v>21</v>
      </c>
      <c r="I49" s="608">
        <v>874</v>
      </c>
      <c r="J49" s="608">
        <v>40332</v>
      </c>
      <c r="K49" s="608">
        <v>107922</v>
      </c>
      <c r="L49" s="608">
        <v>40283</v>
      </c>
      <c r="M49" s="608">
        <v>120537</v>
      </c>
      <c r="N49" s="608">
        <v>13878</v>
      </c>
      <c r="O49" s="608">
        <v>29324</v>
      </c>
      <c r="P49" s="608">
        <v>18744</v>
      </c>
      <c r="Q49" s="608">
        <v>41260</v>
      </c>
      <c r="R49" s="608">
        <v>12776</v>
      </c>
      <c r="S49" s="608">
        <v>31942</v>
      </c>
      <c r="T49" s="608">
        <v>18579</v>
      </c>
      <c r="U49" s="608">
        <v>53681</v>
      </c>
      <c r="V49" s="608">
        <v>41</v>
      </c>
      <c r="W49" s="608">
        <v>742</v>
      </c>
      <c r="X49" s="608">
        <v>56</v>
      </c>
      <c r="Y49" s="608">
        <v>1208</v>
      </c>
      <c r="Z49" s="608">
        <v>23</v>
      </c>
      <c r="AA49" s="608">
        <v>1656</v>
      </c>
      <c r="AB49" s="608">
        <v>13</v>
      </c>
      <c r="AC49" s="608">
        <v>743</v>
      </c>
      <c r="AD49" s="32">
        <f t="shared" si="27"/>
        <v>78109</v>
      </c>
      <c r="AE49" s="32">
        <f t="shared" ref="AE49:AE77" si="28">SUM(C49+G49+K49+O49+S49+W49+AA49)</f>
        <v>258166</v>
      </c>
      <c r="AF49" s="32">
        <f>SUM(D49+H49+L49+P49+T49+X49+AB49)</f>
        <v>89987</v>
      </c>
      <c r="AG49" s="37">
        <f t="shared" ref="AG49:AG79" si="29">ROUND(((AF49/AD49-1)*100),1)</f>
        <v>15.2</v>
      </c>
      <c r="AH49" s="32">
        <f t="shared" ref="AH49:AH77" si="30">SUM(E49+I49+M49+Q49+U49+Y49+AC49)</f>
        <v>335157</v>
      </c>
      <c r="AI49" s="37">
        <f t="shared" ref="AI49:AI79" si="31">ROUND(((AH49/AE49-1)*100),1)</f>
        <v>29.8</v>
      </c>
    </row>
    <row r="50" spans="1:35" ht="19.5" hidden="1" customHeight="1">
      <c r="A50" s="611" t="s">
        <v>46</v>
      </c>
      <c r="B50" s="608">
        <v>4931</v>
      </c>
      <c r="C50" s="608">
        <v>43147</v>
      </c>
      <c r="D50" s="608">
        <v>5746</v>
      </c>
      <c r="E50" s="608">
        <v>59752</v>
      </c>
      <c r="F50" s="608">
        <v>108</v>
      </c>
      <c r="G50" s="608">
        <v>1120</v>
      </c>
      <c r="H50" s="608">
        <v>38</v>
      </c>
      <c r="I50" s="608">
        <v>607</v>
      </c>
      <c r="J50" s="608">
        <v>16580</v>
      </c>
      <c r="K50" s="608">
        <v>64249</v>
      </c>
      <c r="L50" s="608">
        <v>18523</v>
      </c>
      <c r="M50" s="608">
        <v>77448</v>
      </c>
      <c r="N50" s="608">
        <v>14583</v>
      </c>
      <c r="O50" s="608">
        <v>29842</v>
      </c>
      <c r="P50" s="608">
        <v>12541</v>
      </c>
      <c r="Q50" s="608">
        <v>27089</v>
      </c>
      <c r="R50" s="608">
        <v>9519</v>
      </c>
      <c r="S50" s="608">
        <v>19501</v>
      </c>
      <c r="T50" s="608">
        <v>13</v>
      </c>
      <c r="U50" s="608">
        <v>164</v>
      </c>
      <c r="V50" s="608">
        <v>2</v>
      </c>
      <c r="W50" s="608">
        <v>403</v>
      </c>
      <c r="X50" s="608">
        <v>1</v>
      </c>
      <c r="Y50" s="608">
        <v>86</v>
      </c>
      <c r="Z50" s="608">
        <v>612</v>
      </c>
      <c r="AA50" s="608">
        <v>7100</v>
      </c>
      <c r="AB50" s="608">
        <v>726</v>
      </c>
      <c r="AC50" s="608">
        <v>9795</v>
      </c>
      <c r="AD50" s="32">
        <f t="shared" si="27"/>
        <v>46335</v>
      </c>
      <c r="AE50" s="32">
        <f t="shared" si="28"/>
        <v>165362</v>
      </c>
      <c r="AF50" s="32">
        <f t="shared" ref="AF50:AF77" si="32">SUM(D50+H50+L50+P50+T50+X50+AB50)</f>
        <v>37588</v>
      </c>
      <c r="AG50" s="37">
        <f t="shared" si="29"/>
        <v>-18.899999999999999</v>
      </c>
      <c r="AH50" s="32">
        <f t="shared" si="30"/>
        <v>174941</v>
      </c>
      <c r="AI50" s="37">
        <f t="shared" si="31"/>
        <v>5.8</v>
      </c>
    </row>
    <row r="51" spans="1:35" ht="19.5" hidden="1" customHeight="1">
      <c r="A51" s="611" t="s">
        <v>45</v>
      </c>
      <c r="B51" s="608">
        <v>1736</v>
      </c>
      <c r="C51" s="608">
        <v>11284</v>
      </c>
      <c r="D51" s="608">
        <v>2368</v>
      </c>
      <c r="E51" s="608">
        <v>18191</v>
      </c>
      <c r="F51" s="608">
        <v>256</v>
      </c>
      <c r="G51" s="608">
        <v>3576</v>
      </c>
      <c r="H51" s="608">
        <v>179</v>
      </c>
      <c r="I51" s="608">
        <v>2507</v>
      </c>
      <c r="J51" s="608">
        <v>11810</v>
      </c>
      <c r="K51" s="608">
        <v>31911</v>
      </c>
      <c r="L51" s="608">
        <v>12830</v>
      </c>
      <c r="M51" s="608">
        <v>36481</v>
      </c>
      <c r="N51" s="608">
        <v>18319</v>
      </c>
      <c r="O51" s="608">
        <v>37937</v>
      </c>
      <c r="P51" s="608">
        <v>10664</v>
      </c>
      <c r="Q51" s="608">
        <v>23210</v>
      </c>
      <c r="R51" s="608">
        <v>23747</v>
      </c>
      <c r="S51" s="608">
        <v>57578</v>
      </c>
      <c r="T51" s="608">
        <v>18144</v>
      </c>
      <c r="U51" s="608">
        <v>49938</v>
      </c>
      <c r="V51" s="608">
        <v>1</v>
      </c>
      <c r="W51" s="608">
        <v>35</v>
      </c>
      <c r="X51" s="608">
        <v>6</v>
      </c>
      <c r="Y51" s="608">
        <v>167</v>
      </c>
      <c r="Z51" s="608">
        <v>282</v>
      </c>
      <c r="AA51" s="608">
        <v>1243</v>
      </c>
      <c r="AB51" s="608">
        <v>312</v>
      </c>
      <c r="AC51" s="608">
        <v>1087</v>
      </c>
      <c r="AD51" s="32">
        <f t="shared" si="27"/>
        <v>56151</v>
      </c>
      <c r="AE51" s="32">
        <f t="shared" si="28"/>
        <v>143564</v>
      </c>
      <c r="AF51" s="32">
        <f t="shared" si="32"/>
        <v>44503</v>
      </c>
      <c r="AG51" s="37">
        <f t="shared" si="29"/>
        <v>-20.7</v>
      </c>
      <c r="AH51" s="32">
        <f t="shared" si="30"/>
        <v>131581</v>
      </c>
      <c r="AI51" s="37">
        <f t="shared" si="31"/>
        <v>-8.3000000000000007</v>
      </c>
    </row>
    <row r="52" spans="1:35" ht="19.5" hidden="1" customHeight="1">
      <c r="A52" s="611" t="s">
        <v>48</v>
      </c>
      <c r="B52" s="608">
        <v>5347</v>
      </c>
      <c r="C52" s="608">
        <v>30160</v>
      </c>
      <c r="D52" s="608">
        <v>5422</v>
      </c>
      <c r="E52" s="608">
        <v>40897</v>
      </c>
      <c r="F52" s="608">
        <v>12</v>
      </c>
      <c r="G52" s="608">
        <v>205</v>
      </c>
      <c r="H52" s="608">
        <v>12</v>
      </c>
      <c r="I52" s="608">
        <v>140</v>
      </c>
      <c r="J52" s="608">
        <v>7687</v>
      </c>
      <c r="K52" s="608">
        <v>22827</v>
      </c>
      <c r="L52" s="608">
        <v>8318</v>
      </c>
      <c r="M52" s="608">
        <v>26071</v>
      </c>
      <c r="N52" s="608">
        <v>3605</v>
      </c>
      <c r="O52" s="608">
        <v>7423</v>
      </c>
      <c r="P52" s="608">
        <v>3506</v>
      </c>
      <c r="Q52" s="608">
        <v>7613</v>
      </c>
      <c r="R52" s="608">
        <v>5564</v>
      </c>
      <c r="S52" s="608">
        <v>13870</v>
      </c>
      <c r="T52" s="608">
        <v>5904</v>
      </c>
      <c r="U52" s="608">
        <v>16656</v>
      </c>
      <c r="V52" s="608">
        <v>13</v>
      </c>
      <c r="W52" s="608">
        <v>316</v>
      </c>
      <c r="X52" s="608">
        <v>14</v>
      </c>
      <c r="Y52" s="608">
        <v>388</v>
      </c>
      <c r="Z52" s="608">
        <v>2</v>
      </c>
      <c r="AA52" s="608">
        <v>319</v>
      </c>
      <c r="AB52" s="608">
        <v>21</v>
      </c>
      <c r="AC52" s="608">
        <v>292</v>
      </c>
      <c r="AD52" s="32">
        <f t="shared" si="27"/>
        <v>22230</v>
      </c>
      <c r="AE52" s="32">
        <f t="shared" si="28"/>
        <v>75120</v>
      </c>
      <c r="AF52" s="32">
        <f t="shared" si="32"/>
        <v>23197</v>
      </c>
      <c r="AG52" s="37">
        <f t="shared" si="29"/>
        <v>4.3</v>
      </c>
      <c r="AH52" s="32">
        <f t="shared" si="30"/>
        <v>92057</v>
      </c>
      <c r="AI52" s="37">
        <f t="shared" si="31"/>
        <v>22.5</v>
      </c>
    </row>
    <row r="53" spans="1:35" ht="19.5" hidden="1" customHeight="1">
      <c r="A53" s="611" t="s">
        <v>49</v>
      </c>
      <c r="B53" s="608">
        <v>14938</v>
      </c>
      <c r="C53" s="608">
        <v>68058</v>
      </c>
      <c r="D53" s="608">
        <v>11192</v>
      </c>
      <c r="E53" s="608">
        <v>57138</v>
      </c>
      <c r="F53" s="608">
        <v>20</v>
      </c>
      <c r="G53" s="608">
        <v>611</v>
      </c>
      <c r="H53" s="608">
        <v>18</v>
      </c>
      <c r="I53" s="608">
        <v>499</v>
      </c>
      <c r="J53" s="608">
        <v>3677</v>
      </c>
      <c r="K53" s="608">
        <v>11912</v>
      </c>
      <c r="L53" s="608">
        <v>2931</v>
      </c>
      <c r="M53" s="608">
        <v>11531</v>
      </c>
      <c r="N53" s="608">
        <v>845</v>
      </c>
      <c r="O53" s="608">
        <v>1695</v>
      </c>
      <c r="P53" s="608">
        <v>357</v>
      </c>
      <c r="Q53" s="608">
        <v>774</v>
      </c>
      <c r="R53" s="608">
        <v>3726</v>
      </c>
      <c r="S53" s="608">
        <v>9221</v>
      </c>
      <c r="T53" s="608">
        <v>3671</v>
      </c>
      <c r="U53" s="608">
        <v>9963</v>
      </c>
      <c r="V53" s="608">
        <v>6</v>
      </c>
      <c r="W53" s="608">
        <v>115</v>
      </c>
      <c r="X53" s="608">
        <v>9</v>
      </c>
      <c r="Y53" s="608">
        <v>173</v>
      </c>
      <c r="Z53" s="608">
        <v>82</v>
      </c>
      <c r="AA53" s="608">
        <v>2585</v>
      </c>
      <c r="AB53" s="608">
        <v>5</v>
      </c>
      <c r="AC53" s="608">
        <v>611</v>
      </c>
      <c r="AD53" s="32">
        <f t="shared" si="27"/>
        <v>23294</v>
      </c>
      <c r="AE53" s="32">
        <f t="shared" si="28"/>
        <v>94197</v>
      </c>
      <c r="AF53" s="32">
        <f t="shared" si="32"/>
        <v>18183</v>
      </c>
      <c r="AG53" s="37">
        <f t="shared" si="29"/>
        <v>-21.9</v>
      </c>
      <c r="AH53" s="32">
        <f t="shared" si="30"/>
        <v>80689</v>
      </c>
      <c r="AI53" s="37">
        <f t="shared" si="31"/>
        <v>-14.3</v>
      </c>
    </row>
    <row r="54" spans="1:35" ht="19.5" hidden="1" customHeight="1">
      <c r="A54" s="611" t="s">
        <v>47</v>
      </c>
      <c r="B54" s="608">
        <v>4370</v>
      </c>
      <c r="C54" s="608">
        <v>29402</v>
      </c>
      <c r="D54" s="608">
        <v>3524</v>
      </c>
      <c r="E54" s="608">
        <v>34628</v>
      </c>
      <c r="F54" s="608">
        <v>869</v>
      </c>
      <c r="G54" s="608">
        <v>4998</v>
      </c>
      <c r="H54" s="608">
        <v>1295</v>
      </c>
      <c r="I54" s="608">
        <v>7245</v>
      </c>
      <c r="J54" s="608">
        <v>13378</v>
      </c>
      <c r="K54" s="608">
        <v>49477</v>
      </c>
      <c r="L54" s="608">
        <v>10951</v>
      </c>
      <c r="M54" s="608">
        <v>51283</v>
      </c>
      <c r="N54" s="608">
        <v>1216</v>
      </c>
      <c r="O54" s="608">
        <v>2501</v>
      </c>
      <c r="P54" s="608">
        <v>1205</v>
      </c>
      <c r="Q54" s="608">
        <v>2655</v>
      </c>
      <c r="R54" s="608">
        <v>257</v>
      </c>
      <c r="S54" s="608">
        <v>773</v>
      </c>
      <c r="T54" s="608">
        <v>207</v>
      </c>
      <c r="U54" s="608">
        <v>652</v>
      </c>
      <c r="V54" s="608">
        <v>30</v>
      </c>
      <c r="W54" s="608">
        <v>508</v>
      </c>
      <c r="X54" s="608">
        <v>3</v>
      </c>
      <c r="Y54" s="608">
        <v>278</v>
      </c>
      <c r="Z54" s="608">
        <v>264</v>
      </c>
      <c r="AA54" s="608">
        <v>6080</v>
      </c>
      <c r="AB54" s="608">
        <v>212</v>
      </c>
      <c r="AC54" s="608">
        <v>2013</v>
      </c>
      <c r="AD54" s="32">
        <f t="shared" si="27"/>
        <v>20384</v>
      </c>
      <c r="AE54" s="32">
        <f t="shared" si="28"/>
        <v>93739</v>
      </c>
      <c r="AF54" s="32">
        <f t="shared" si="32"/>
        <v>17397</v>
      </c>
      <c r="AG54" s="37">
        <f t="shared" si="29"/>
        <v>-14.7</v>
      </c>
      <c r="AH54" s="32">
        <f t="shared" si="30"/>
        <v>98754</v>
      </c>
      <c r="AI54" s="37">
        <f t="shared" si="31"/>
        <v>5.3</v>
      </c>
    </row>
    <row r="55" spans="1:35" ht="19.5" hidden="1" customHeight="1">
      <c r="A55" s="611" t="s">
        <v>50</v>
      </c>
      <c r="B55" s="608">
        <v>7855</v>
      </c>
      <c r="C55" s="608">
        <v>60151</v>
      </c>
      <c r="D55" s="608">
        <v>2571</v>
      </c>
      <c r="E55" s="608">
        <v>35613</v>
      </c>
      <c r="F55" s="608">
        <v>10</v>
      </c>
      <c r="G55" s="608">
        <v>204</v>
      </c>
      <c r="H55" s="608">
        <v>94</v>
      </c>
      <c r="I55" s="608">
        <v>1813</v>
      </c>
      <c r="J55" s="608">
        <v>1998</v>
      </c>
      <c r="K55" s="608">
        <v>12591</v>
      </c>
      <c r="L55" s="608">
        <v>2296</v>
      </c>
      <c r="M55" s="608">
        <v>11814</v>
      </c>
      <c r="N55" s="608">
        <v>308</v>
      </c>
      <c r="O55" s="608">
        <v>666</v>
      </c>
      <c r="P55" s="608">
        <v>281</v>
      </c>
      <c r="Q55" s="608">
        <v>658</v>
      </c>
      <c r="R55" s="608">
        <v>6629</v>
      </c>
      <c r="S55" s="608">
        <v>14293</v>
      </c>
      <c r="T55" s="608">
        <v>9681</v>
      </c>
      <c r="U55" s="608">
        <v>26263</v>
      </c>
      <c r="V55" s="608">
        <v>26</v>
      </c>
      <c r="W55" s="608">
        <v>2014</v>
      </c>
      <c r="X55" s="608">
        <v>28</v>
      </c>
      <c r="Y55" s="608">
        <v>1137</v>
      </c>
      <c r="Z55" s="608">
        <v>66</v>
      </c>
      <c r="AA55" s="608">
        <v>2036</v>
      </c>
      <c r="AB55" s="608">
        <v>18</v>
      </c>
      <c r="AC55" s="608">
        <v>1778</v>
      </c>
      <c r="AD55" s="32">
        <f t="shared" si="27"/>
        <v>16892</v>
      </c>
      <c r="AE55" s="32">
        <f t="shared" si="28"/>
        <v>91955</v>
      </c>
      <c r="AF55" s="32">
        <f t="shared" si="32"/>
        <v>14969</v>
      </c>
      <c r="AG55" s="37">
        <f t="shared" si="29"/>
        <v>-11.4</v>
      </c>
      <c r="AH55" s="32">
        <f t="shared" si="30"/>
        <v>79076</v>
      </c>
      <c r="AI55" s="37">
        <f t="shared" si="31"/>
        <v>-14</v>
      </c>
    </row>
    <row r="56" spans="1:35" ht="19.5" hidden="1" customHeight="1">
      <c r="A56" s="611" t="s">
        <v>51</v>
      </c>
      <c r="B56" s="608">
        <v>1765</v>
      </c>
      <c r="C56" s="608">
        <v>11073</v>
      </c>
      <c r="D56" s="608">
        <v>1296</v>
      </c>
      <c r="E56" s="608">
        <v>9869</v>
      </c>
      <c r="F56" s="608">
        <v>15</v>
      </c>
      <c r="G56" s="608">
        <v>326</v>
      </c>
      <c r="H56" s="608">
        <v>4</v>
      </c>
      <c r="I56" s="608">
        <v>121</v>
      </c>
      <c r="J56" s="608">
        <v>3183</v>
      </c>
      <c r="K56" s="608">
        <v>10259</v>
      </c>
      <c r="L56" s="608">
        <v>4790</v>
      </c>
      <c r="M56" s="608">
        <v>15038</v>
      </c>
      <c r="N56" s="608">
        <v>4155</v>
      </c>
      <c r="O56" s="608">
        <v>8535</v>
      </c>
      <c r="P56" s="608">
        <v>3530</v>
      </c>
      <c r="Q56" s="608">
        <v>7600</v>
      </c>
      <c r="R56" s="608">
        <v>6592</v>
      </c>
      <c r="S56" s="608">
        <v>16205</v>
      </c>
      <c r="T56" s="608">
        <v>5699</v>
      </c>
      <c r="U56" s="608">
        <v>16196</v>
      </c>
      <c r="V56" s="608">
        <v>6</v>
      </c>
      <c r="W56" s="608">
        <v>173</v>
      </c>
      <c r="X56" s="608">
        <v>5</v>
      </c>
      <c r="Y56" s="608">
        <v>164</v>
      </c>
      <c r="Z56" s="608">
        <v>0</v>
      </c>
      <c r="AA56" s="608">
        <v>5</v>
      </c>
      <c r="AB56" s="608">
        <v>2</v>
      </c>
      <c r="AC56" s="608">
        <v>69</v>
      </c>
      <c r="AD56" s="32">
        <f t="shared" si="27"/>
        <v>15716</v>
      </c>
      <c r="AE56" s="32">
        <f t="shared" si="28"/>
        <v>46576</v>
      </c>
      <c r="AF56" s="32">
        <f t="shared" si="32"/>
        <v>15326</v>
      </c>
      <c r="AG56" s="37">
        <f t="shared" si="29"/>
        <v>-2.5</v>
      </c>
      <c r="AH56" s="32">
        <f t="shared" si="30"/>
        <v>49057</v>
      </c>
      <c r="AI56" s="37">
        <f t="shared" si="31"/>
        <v>5.3</v>
      </c>
    </row>
    <row r="57" spans="1:35" ht="19.5" hidden="1" customHeight="1">
      <c r="A57" s="611" t="s">
        <v>54</v>
      </c>
      <c r="B57" s="608">
        <v>2250</v>
      </c>
      <c r="C57" s="608">
        <v>15392</v>
      </c>
      <c r="D57" s="608">
        <v>2089</v>
      </c>
      <c r="E57" s="608">
        <v>18082</v>
      </c>
      <c r="F57" s="608">
        <v>0</v>
      </c>
      <c r="G57" s="608">
        <v>11</v>
      </c>
      <c r="H57" s="608">
        <v>39</v>
      </c>
      <c r="I57" s="608">
        <v>688</v>
      </c>
      <c r="J57" s="608">
        <v>7522</v>
      </c>
      <c r="K57" s="608">
        <v>21076</v>
      </c>
      <c r="L57" s="608">
        <v>7173</v>
      </c>
      <c r="M57" s="608">
        <v>20660</v>
      </c>
      <c r="N57" s="608">
        <v>371</v>
      </c>
      <c r="O57" s="608">
        <v>1802</v>
      </c>
      <c r="P57" s="608">
        <v>348</v>
      </c>
      <c r="Q57" s="608">
        <v>2165</v>
      </c>
      <c r="R57" s="608">
        <v>863</v>
      </c>
      <c r="S57" s="608">
        <v>2348</v>
      </c>
      <c r="T57" s="608">
        <v>3696</v>
      </c>
      <c r="U57" s="608">
        <v>11265</v>
      </c>
      <c r="V57" s="608">
        <v>0</v>
      </c>
      <c r="W57" s="608">
        <v>0</v>
      </c>
      <c r="X57" s="608">
        <v>0</v>
      </c>
      <c r="Y57" s="608">
        <v>0</v>
      </c>
      <c r="Z57" s="608">
        <v>1</v>
      </c>
      <c r="AA57" s="608">
        <v>98</v>
      </c>
      <c r="AB57" s="608">
        <v>0</v>
      </c>
      <c r="AC57" s="608">
        <v>2</v>
      </c>
      <c r="AD57" s="32">
        <f t="shared" si="27"/>
        <v>11007</v>
      </c>
      <c r="AE57" s="32">
        <f t="shared" si="28"/>
        <v>40727</v>
      </c>
      <c r="AF57" s="32">
        <f t="shared" si="32"/>
        <v>13345</v>
      </c>
      <c r="AG57" s="37">
        <f t="shared" si="29"/>
        <v>21.2</v>
      </c>
      <c r="AH57" s="32">
        <f t="shared" si="30"/>
        <v>52862</v>
      </c>
      <c r="AI57" s="37">
        <f t="shared" si="31"/>
        <v>29.8</v>
      </c>
    </row>
    <row r="58" spans="1:35" ht="19.5" hidden="1" customHeight="1">
      <c r="A58" s="611" t="s">
        <v>58</v>
      </c>
      <c r="B58" s="608">
        <v>403</v>
      </c>
      <c r="C58" s="608">
        <v>2719</v>
      </c>
      <c r="D58" s="608">
        <v>25</v>
      </c>
      <c r="E58" s="608">
        <v>412</v>
      </c>
      <c r="F58" s="608">
        <v>0</v>
      </c>
      <c r="G58" s="608">
        <v>4</v>
      </c>
      <c r="H58" s="608">
        <v>0</v>
      </c>
      <c r="I58" s="608">
        <v>14</v>
      </c>
      <c r="J58" s="608">
        <v>8296</v>
      </c>
      <c r="K58" s="608">
        <v>22449</v>
      </c>
      <c r="L58" s="608">
        <v>5915</v>
      </c>
      <c r="M58" s="608">
        <v>21203</v>
      </c>
      <c r="N58" s="608">
        <v>0</v>
      </c>
      <c r="O58" s="608">
        <v>0</v>
      </c>
      <c r="P58" s="608">
        <v>0</v>
      </c>
      <c r="Q58" s="608">
        <v>0</v>
      </c>
      <c r="R58" s="608">
        <v>9</v>
      </c>
      <c r="S58" s="608">
        <v>86</v>
      </c>
      <c r="T58" s="608">
        <v>11</v>
      </c>
      <c r="U58" s="608">
        <v>163</v>
      </c>
      <c r="V58" s="608">
        <v>1</v>
      </c>
      <c r="W58" s="608">
        <v>35</v>
      </c>
      <c r="X58" s="608">
        <v>0</v>
      </c>
      <c r="Y58" s="608">
        <v>1</v>
      </c>
      <c r="Z58" s="608">
        <v>0</v>
      </c>
      <c r="AA58" s="608">
        <v>17</v>
      </c>
      <c r="AB58" s="608">
        <v>0</v>
      </c>
      <c r="AC58" s="608">
        <v>21</v>
      </c>
      <c r="AD58" s="32">
        <f t="shared" si="27"/>
        <v>8709</v>
      </c>
      <c r="AE58" s="32">
        <f t="shared" si="28"/>
        <v>25310</v>
      </c>
      <c r="AF58" s="32">
        <f t="shared" si="32"/>
        <v>5951</v>
      </c>
      <c r="AG58" s="37">
        <f t="shared" si="29"/>
        <v>-31.7</v>
      </c>
      <c r="AH58" s="32">
        <f t="shared" si="30"/>
        <v>21814</v>
      </c>
      <c r="AI58" s="37">
        <f t="shared" si="31"/>
        <v>-13.8</v>
      </c>
    </row>
    <row r="59" spans="1:35" ht="19.5" hidden="1" customHeight="1">
      <c r="A59" s="611" t="s">
        <v>52</v>
      </c>
      <c r="B59" s="608">
        <v>7413</v>
      </c>
      <c r="C59" s="608">
        <v>44078</v>
      </c>
      <c r="D59" s="608">
        <v>6341</v>
      </c>
      <c r="E59" s="608">
        <v>49953</v>
      </c>
      <c r="F59" s="608">
        <v>27</v>
      </c>
      <c r="G59" s="608">
        <v>607</v>
      </c>
      <c r="H59" s="608">
        <v>26</v>
      </c>
      <c r="I59" s="608">
        <v>1040</v>
      </c>
      <c r="J59" s="608">
        <v>2055</v>
      </c>
      <c r="K59" s="608">
        <v>10425</v>
      </c>
      <c r="L59" s="608">
        <v>1242</v>
      </c>
      <c r="M59" s="608">
        <v>4614</v>
      </c>
      <c r="N59" s="608">
        <v>5</v>
      </c>
      <c r="O59" s="608">
        <v>132</v>
      </c>
      <c r="P59" s="608">
        <v>171</v>
      </c>
      <c r="Q59" s="608">
        <v>344</v>
      </c>
      <c r="R59" s="608">
        <v>559</v>
      </c>
      <c r="S59" s="608">
        <v>1422</v>
      </c>
      <c r="T59" s="608">
        <v>679</v>
      </c>
      <c r="U59" s="608">
        <v>2003</v>
      </c>
      <c r="V59" s="608">
        <v>35</v>
      </c>
      <c r="W59" s="608">
        <v>1080</v>
      </c>
      <c r="X59" s="608">
        <v>71</v>
      </c>
      <c r="Y59" s="608">
        <v>2746</v>
      </c>
      <c r="Z59" s="608">
        <v>0</v>
      </c>
      <c r="AA59" s="608">
        <v>53</v>
      </c>
      <c r="AB59" s="608">
        <v>10</v>
      </c>
      <c r="AC59" s="608">
        <v>28</v>
      </c>
      <c r="AD59" s="32">
        <f t="shared" si="27"/>
        <v>10094</v>
      </c>
      <c r="AE59" s="32">
        <f t="shared" si="28"/>
        <v>57797</v>
      </c>
      <c r="AF59" s="32">
        <f t="shared" si="32"/>
        <v>8540</v>
      </c>
      <c r="AG59" s="37">
        <f t="shared" si="29"/>
        <v>-15.4</v>
      </c>
      <c r="AH59" s="32">
        <f t="shared" si="30"/>
        <v>60728</v>
      </c>
      <c r="AI59" s="37">
        <f t="shared" si="31"/>
        <v>5.0999999999999996</v>
      </c>
    </row>
    <row r="60" spans="1:35" ht="19.5" hidden="1" customHeight="1">
      <c r="A60" s="611" t="s">
        <v>56</v>
      </c>
      <c r="B60" s="608">
        <v>352</v>
      </c>
      <c r="C60" s="608">
        <v>2735</v>
      </c>
      <c r="D60" s="608">
        <v>162</v>
      </c>
      <c r="E60" s="608">
        <v>1524</v>
      </c>
      <c r="F60" s="608">
        <v>2</v>
      </c>
      <c r="G60" s="608">
        <v>103</v>
      </c>
      <c r="H60" s="608">
        <v>4</v>
      </c>
      <c r="I60" s="608">
        <v>83</v>
      </c>
      <c r="J60" s="608">
        <v>4752</v>
      </c>
      <c r="K60" s="608">
        <v>11017</v>
      </c>
      <c r="L60" s="608">
        <v>1286</v>
      </c>
      <c r="M60" s="608">
        <v>4544</v>
      </c>
      <c r="N60" s="608">
        <v>6</v>
      </c>
      <c r="O60" s="608">
        <v>11</v>
      </c>
      <c r="P60" s="608">
        <v>0</v>
      </c>
      <c r="Q60" s="608">
        <v>0</v>
      </c>
      <c r="R60" s="608">
        <v>2627</v>
      </c>
      <c r="S60" s="608">
        <v>6424</v>
      </c>
      <c r="T60" s="608">
        <v>1395</v>
      </c>
      <c r="U60" s="608">
        <v>3989</v>
      </c>
      <c r="V60" s="608">
        <v>0</v>
      </c>
      <c r="W60" s="608">
        <v>0</v>
      </c>
      <c r="X60" s="608">
        <v>0</v>
      </c>
      <c r="Y60" s="608">
        <v>0</v>
      </c>
      <c r="Z60" s="608">
        <v>0</v>
      </c>
      <c r="AA60" s="608">
        <v>1</v>
      </c>
      <c r="AB60" s="608">
        <v>0</v>
      </c>
      <c r="AC60" s="608">
        <v>2</v>
      </c>
      <c r="AD60" s="32">
        <f t="shared" si="27"/>
        <v>7739</v>
      </c>
      <c r="AE60" s="32">
        <f t="shared" si="28"/>
        <v>20291</v>
      </c>
      <c r="AF60" s="32">
        <f t="shared" si="32"/>
        <v>2847</v>
      </c>
      <c r="AG60" s="37">
        <f t="shared" si="29"/>
        <v>-63.2</v>
      </c>
      <c r="AH60" s="32">
        <f t="shared" si="30"/>
        <v>10142</v>
      </c>
      <c r="AI60" s="37">
        <f t="shared" si="31"/>
        <v>-50</v>
      </c>
    </row>
    <row r="61" spans="1:35" ht="19.5" hidden="1" customHeight="1">
      <c r="A61" s="611" t="s">
        <v>53</v>
      </c>
      <c r="B61" s="608">
        <v>2618</v>
      </c>
      <c r="C61" s="608">
        <v>11909</v>
      </c>
      <c r="D61" s="608">
        <v>2530</v>
      </c>
      <c r="E61" s="608">
        <v>18450</v>
      </c>
      <c r="F61" s="608">
        <v>2</v>
      </c>
      <c r="G61" s="608">
        <v>80</v>
      </c>
      <c r="H61" s="608">
        <v>1</v>
      </c>
      <c r="I61" s="608">
        <v>134</v>
      </c>
      <c r="J61" s="608">
        <v>486</v>
      </c>
      <c r="K61" s="608">
        <v>2864</v>
      </c>
      <c r="L61" s="608">
        <v>838</v>
      </c>
      <c r="M61" s="608">
        <v>4715</v>
      </c>
      <c r="N61" s="608">
        <v>8</v>
      </c>
      <c r="O61" s="608">
        <v>38</v>
      </c>
      <c r="P61" s="608">
        <v>2</v>
      </c>
      <c r="Q61" s="608">
        <v>11</v>
      </c>
      <c r="R61" s="608">
        <v>3894</v>
      </c>
      <c r="S61" s="608">
        <v>9106</v>
      </c>
      <c r="T61" s="608">
        <v>6058</v>
      </c>
      <c r="U61" s="608">
        <v>17686</v>
      </c>
      <c r="V61" s="608">
        <v>0</v>
      </c>
      <c r="W61" s="608">
        <v>0</v>
      </c>
      <c r="X61" s="608">
        <v>1</v>
      </c>
      <c r="Y61" s="608">
        <v>40</v>
      </c>
      <c r="Z61" s="608">
        <v>248</v>
      </c>
      <c r="AA61" s="608">
        <v>1073</v>
      </c>
      <c r="AB61" s="608">
        <v>124</v>
      </c>
      <c r="AC61" s="608">
        <v>516</v>
      </c>
      <c r="AD61" s="32">
        <f t="shared" si="27"/>
        <v>7256</v>
      </c>
      <c r="AE61" s="32">
        <f t="shared" si="28"/>
        <v>25070</v>
      </c>
      <c r="AF61" s="32">
        <f t="shared" si="32"/>
        <v>9554</v>
      </c>
      <c r="AG61" s="37">
        <f t="shared" si="29"/>
        <v>31.7</v>
      </c>
      <c r="AH61" s="32">
        <f t="shared" si="30"/>
        <v>41552</v>
      </c>
      <c r="AI61" s="37">
        <f t="shared" si="31"/>
        <v>65.7</v>
      </c>
    </row>
    <row r="62" spans="1:35" ht="19.5" hidden="1" customHeight="1">
      <c r="A62" s="611" t="s">
        <v>57</v>
      </c>
      <c r="B62" s="608">
        <v>304</v>
      </c>
      <c r="C62" s="608">
        <v>2440</v>
      </c>
      <c r="D62" s="608">
        <v>173</v>
      </c>
      <c r="E62" s="608">
        <v>1779</v>
      </c>
      <c r="F62" s="608">
        <v>4</v>
      </c>
      <c r="G62" s="608">
        <v>566</v>
      </c>
      <c r="H62" s="608">
        <v>4</v>
      </c>
      <c r="I62" s="608">
        <v>198</v>
      </c>
      <c r="J62" s="608">
        <v>2201</v>
      </c>
      <c r="K62" s="608">
        <v>5948</v>
      </c>
      <c r="L62" s="608">
        <v>3476</v>
      </c>
      <c r="M62" s="608">
        <v>10559</v>
      </c>
      <c r="N62" s="608">
        <v>0</v>
      </c>
      <c r="O62" s="608">
        <v>0</v>
      </c>
      <c r="P62" s="608">
        <v>0</v>
      </c>
      <c r="Q62" s="608">
        <v>0</v>
      </c>
      <c r="R62" s="608">
        <v>2158</v>
      </c>
      <c r="S62" s="608">
        <v>5313</v>
      </c>
      <c r="T62" s="608">
        <v>1690</v>
      </c>
      <c r="U62" s="608">
        <v>4753</v>
      </c>
      <c r="V62" s="608">
        <v>31</v>
      </c>
      <c r="W62" s="608">
        <v>268</v>
      </c>
      <c r="X62" s="608">
        <v>38</v>
      </c>
      <c r="Y62" s="608">
        <v>353</v>
      </c>
      <c r="Z62" s="608">
        <v>0</v>
      </c>
      <c r="AA62" s="608">
        <v>4</v>
      </c>
      <c r="AB62" s="608">
        <v>0</v>
      </c>
      <c r="AC62" s="608">
        <v>4</v>
      </c>
      <c r="AD62" s="32">
        <f t="shared" si="27"/>
        <v>4698</v>
      </c>
      <c r="AE62" s="32">
        <f t="shared" si="28"/>
        <v>14539</v>
      </c>
      <c r="AF62" s="32">
        <f t="shared" si="32"/>
        <v>5381</v>
      </c>
      <c r="AG62" s="37">
        <f t="shared" si="29"/>
        <v>14.5</v>
      </c>
      <c r="AH62" s="32">
        <f t="shared" si="30"/>
        <v>17646</v>
      </c>
      <c r="AI62" s="37">
        <f t="shared" si="31"/>
        <v>21.4</v>
      </c>
    </row>
    <row r="63" spans="1:35" ht="19.5" hidden="1" customHeight="1">
      <c r="A63" s="611" t="s">
        <v>70</v>
      </c>
      <c r="B63" s="608">
        <v>403</v>
      </c>
      <c r="C63" s="608">
        <v>3974</v>
      </c>
      <c r="D63" s="608">
        <v>77</v>
      </c>
      <c r="E63" s="608">
        <v>782</v>
      </c>
      <c r="F63" s="608">
        <v>0</v>
      </c>
      <c r="G63" s="608">
        <v>10</v>
      </c>
      <c r="H63" s="608">
        <v>0</v>
      </c>
      <c r="I63" s="608">
        <v>9</v>
      </c>
      <c r="J63" s="608">
        <v>4014</v>
      </c>
      <c r="K63" s="608">
        <v>9388</v>
      </c>
      <c r="L63" s="608">
        <v>2543</v>
      </c>
      <c r="M63" s="608">
        <v>7223</v>
      </c>
      <c r="N63" s="608">
        <v>0</v>
      </c>
      <c r="O63" s="608">
        <v>0</v>
      </c>
      <c r="P63" s="608">
        <v>0</v>
      </c>
      <c r="Q63" s="608">
        <v>0</v>
      </c>
      <c r="R63" s="608">
        <v>0</v>
      </c>
      <c r="S63" s="608">
        <v>0</v>
      </c>
      <c r="T63" s="608">
        <v>0</v>
      </c>
      <c r="U63" s="608">
        <v>1</v>
      </c>
      <c r="V63" s="608">
        <v>0</v>
      </c>
      <c r="W63" s="608">
        <v>0</v>
      </c>
      <c r="X63" s="608">
        <v>0</v>
      </c>
      <c r="Y63" s="608">
        <v>0</v>
      </c>
      <c r="Z63" s="608">
        <v>0</v>
      </c>
      <c r="AA63" s="608">
        <v>0</v>
      </c>
      <c r="AB63" s="608">
        <v>1</v>
      </c>
      <c r="AC63" s="608">
        <v>8</v>
      </c>
      <c r="AD63" s="32">
        <f t="shared" si="27"/>
        <v>4417</v>
      </c>
      <c r="AE63" s="32">
        <f t="shared" si="28"/>
        <v>13372</v>
      </c>
      <c r="AF63" s="32">
        <f t="shared" si="32"/>
        <v>2621</v>
      </c>
      <c r="AG63" s="37">
        <f t="shared" si="29"/>
        <v>-40.700000000000003</v>
      </c>
      <c r="AH63" s="32">
        <f t="shared" si="30"/>
        <v>8023</v>
      </c>
      <c r="AI63" s="37">
        <f t="shared" si="31"/>
        <v>-40</v>
      </c>
    </row>
    <row r="64" spans="1:35" ht="19.5" hidden="1" customHeight="1">
      <c r="A64" s="611" t="s">
        <v>68</v>
      </c>
      <c r="B64" s="608">
        <v>391</v>
      </c>
      <c r="C64" s="608">
        <v>2860</v>
      </c>
      <c r="D64" s="608">
        <v>390</v>
      </c>
      <c r="E64" s="608">
        <v>3672</v>
      </c>
      <c r="F64" s="608">
        <v>0</v>
      </c>
      <c r="G64" s="608">
        <v>3</v>
      </c>
      <c r="H64" s="608">
        <v>0</v>
      </c>
      <c r="I64" s="608">
        <v>7</v>
      </c>
      <c r="J64" s="608">
        <v>4048</v>
      </c>
      <c r="K64" s="608">
        <v>10103</v>
      </c>
      <c r="L64" s="608">
        <v>2096</v>
      </c>
      <c r="M64" s="608">
        <v>6109</v>
      </c>
      <c r="N64" s="608">
        <v>0</v>
      </c>
      <c r="O64" s="608">
        <v>0</v>
      </c>
      <c r="P64" s="608">
        <v>0</v>
      </c>
      <c r="Q64" s="608">
        <v>0</v>
      </c>
      <c r="R64" s="608">
        <v>0</v>
      </c>
      <c r="S64" s="608">
        <v>0</v>
      </c>
      <c r="T64" s="608">
        <v>26</v>
      </c>
      <c r="U64" s="608">
        <v>73</v>
      </c>
      <c r="V64" s="608">
        <v>1</v>
      </c>
      <c r="W64" s="608">
        <v>16</v>
      </c>
      <c r="X64" s="608">
        <v>0</v>
      </c>
      <c r="Y64" s="608">
        <v>0</v>
      </c>
      <c r="Z64" s="608">
        <v>1</v>
      </c>
      <c r="AA64" s="608">
        <v>43</v>
      </c>
      <c r="AB64" s="608">
        <v>18</v>
      </c>
      <c r="AC64" s="608">
        <v>22</v>
      </c>
      <c r="AD64" s="32">
        <f t="shared" si="27"/>
        <v>4441</v>
      </c>
      <c r="AE64" s="32">
        <f t="shared" si="28"/>
        <v>13025</v>
      </c>
      <c r="AF64" s="32">
        <f t="shared" si="32"/>
        <v>2530</v>
      </c>
      <c r="AG64" s="37">
        <f t="shared" si="29"/>
        <v>-43</v>
      </c>
      <c r="AH64" s="32">
        <f t="shared" si="30"/>
        <v>9883</v>
      </c>
      <c r="AI64" s="37">
        <f t="shared" si="31"/>
        <v>-24.1</v>
      </c>
    </row>
    <row r="65" spans="1:35" ht="19.5" hidden="1" customHeight="1">
      <c r="A65" s="611" t="s">
        <v>60</v>
      </c>
      <c r="B65" s="608">
        <v>42</v>
      </c>
      <c r="C65" s="608">
        <v>42</v>
      </c>
      <c r="D65" s="608">
        <v>104</v>
      </c>
      <c r="E65" s="608">
        <v>172</v>
      </c>
      <c r="F65" s="608">
        <v>0</v>
      </c>
      <c r="G65" s="608">
        <v>1</v>
      </c>
      <c r="H65" s="608">
        <v>0</v>
      </c>
      <c r="I65" s="608">
        <v>0</v>
      </c>
      <c r="J65" s="608">
        <v>2242</v>
      </c>
      <c r="K65" s="608">
        <v>5480</v>
      </c>
      <c r="L65" s="608">
        <v>1387</v>
      </c>
      <c r="M65" s="608">
        <v>4208</v>
      </c>
      <c r="N65" s="608">
        <v>0</v>
      </c>
      <c r="O65" s="608">
        <v>0</v>
      </c>
      <c r="P65" s="608">
        <v>0</v>
      </c>
      <c r="Q65" s="608">
        <v>0</v>
      </c>
      <c r="R65" s="608">
        <v>0</v>
      </c>
      <c r="S65" s="608">
        <v>0</v>
      </c>
      <c r="T65" s="608">
        <v>300</v>
      </c>
      <c r="U65" s="608">
        <v>942</v>
      </c>
      <c r="V65" s="608">
        <v>0</v>
      </c>
      <c r="W65" s="608">
        <v>0</v>
      </c>
      <c r="X65" s="608">
        <v>0</v>
      </c>
      <c r="Y65" s="608">
        <v>0</v>
      </c>
      <c r="Z65" s="608">
        <v>0</v>
      </c>
      <c r="AA65" s="608">
        <v>0</v>
      </c>
      <c r="AB65" s="608">
        <v>0</v>
      </c>
      <c r="AC65" s="608">
        <v>0</v>
      </c>
      <c r="AD65" s="32">
        <f t="shared" si="27"/>
        <v>2284</v>
      </c>
      <c r="AE65" s="32">
        <f t="shared" si="28"/>
        <v>5523</v>
      </c>
      <c r="AF65" s="32">
        <f t="shared" si="32"/>
        <v>1791</v>
      </c>
      <c r="AG65" s="37">
        <f t="shared" si="29"/>
        <v>-21.6</v>
      </c>
      <c r="AH65" s="32">
        <f t="shared" si="30"/>
        <v>5322</v>
      </c>
      <c r="AI65" s="37">
        <f t="shared" si="31"/>
        <v>-3.6</v>
      </c>
    </row>
    <row r="66" spans="1:35" ht="19.5" hidden="1" customHeight="1">
      <c r="A66" s="611" t="s">
        <v>55</v>
      </c>
      <c r="B66" s="608">
        <v>513</v>
      </c>
      <c r="C66" s="608">
        <v>3157</v>
      </c>
      <c r="D66" s="608">
        <v>401</v>
      </c>
      <c r="E66" s="608">
        <v>3238</v>
      </c>
      <c r="F66" s="608">
        <v>0</v>
      </c>
      <c r="G66" s="608">
        <v>0</v>
      </c>
      <c r="H66" s="608">
        <v>0</v>
      </c>
      <c r="I66" s="608">
        <v>0</v>
      </c>
      <c r="J66" s="608">
        <v>879</v>
      </c>
      <c r="K66" s="608">
        <v>3514</v>
      </c>
      <c r="L66" s="608">
        <v>627</v>
      </c>
      <c r="M66" s="608">
        <v>3031</v>
      </c>
      <c r="N66" s="608">
        <v>868</v>
      </c>
      <c r="O66" s="608">
        <v>1713</v>
      </c>
      <c r="P66" s="608">
        <v>421</v>
      </c>
      <c r="Q66" s="608">
        <v>974</v>
      </c>
      <c r="R66" s="608">
        <v>2588</v>
      </c>
      <c r="S66" s="608">
        <v>6611</v>
      </c>
      <c r="T66" s="608">
        <v>1354</v>
      </c>
      <c r="U66" s="608">
        <v>3885</v>
      </c>
      <c r="V66" s="608">
        <v>0</v>
      </c>
      <c r="W66" s="608">
        <v>0</v>
      </c>
      <c r="X66" s="608">
        <v>0</v>
      </c>
      <c r="Y66" s="608">
        <v>0</v>
      </c>
      <c r="Z66" s="608">
        <v>0</v>
      </c>
      <c r="AA66" s="608">
        <v>0</v>
      </c>
      <c r="AB66" s="608">
        <v>1</v>
      </c>
      <c r="AC66" s="608">
        <v>27</v>
      </c>
      <c r="AD66" s="32">
        <f t="shared" si="27"/>
        <v>4848</v>
      </c>
      <c r="AE66" s="32">
        <f t="shared" si="28"/>
        <v>14995</v>
      </c>
      <c r="AF66" s="32">
        <f t="shared" si="32"/>
        <v>2804</v>
      </c>
      <c r="AG66" s="37">
        <f t="shared" si="29"/>
        <v>-42.2</v>
      </c>
      <c r="AH66" s="32">
        <f t="shared" si="30"/>
        <v>11155</v>
      </c>
      <c r="AI66" s="37">
        <f t="shared" si="31"/>
        <v>-25.6</v>
      </c>
    </row>
    <row r="67" spans="1:35" ht="19.5" hidden="1" customHeight="1">
      <c r="A67" s="611" t="s">
        <v>421</v>
      </c>
      <c r="B67" s="608">
        <v>727</v>
      </c>
      <c r="C67" s="608">
        <v>10191</v>
      </c>
      <c r="D67" s="608">
        <v>2120</v>
      </c>
      <c r="E67" s="608">
        <v>30158</v>
      </c>
      <c r="F67" s="608">
        <v>9</v>
      </c>
      <c r="G67" s="608">
        <v>630</v>
      </c>
      <c r="H67" s="608">
        <v>9</v>
      </c>
      <c r="I67" s="608">
        <v>522</v>
      </c>
      <c r="J67" s="608">
        <v>1019</v>
      </c>
      <c r="K67" s="608">
        <v>8171</v>
      </c>
      <c r="L67" s="608">
        <v>2517</v>
      </c>
      <c r="M67" s="608">
        <v>17161</v>
      </c>
      <c r="N67" s="608">
        <v>2</v>
      </c>
      <c r="O67" s="608">
        <v>6</v>
      </c>
      <c r="P67" s="608">
        <v>4</v>
      </c>
      <c r="Q67" s="608">
        <v>17</v>
      </c>
      <c r="R67" s="608">
        <v>1</v>
      </c>
      <c r="S67" s="608">
        <v>44</v>
      </c>
      <c r="T67" s="608">
        <v>16</v>
      </c>
      <c r="U67" s="608">
        <v>102</v>
      </c>
      <c r="V67" s="608">
        <v>0</v>
      </c>
      <c r="W67" s="608">
        <v>17</v>
      </c>
      <c r="X67" s="608">
        <v>1</v>
      </c>
      <c r="Y67" s="608">
        <v>41</v>
      </c>
      <c r="Z67" s="608">
        <v>0</v>
      </c>
      <c r="AA67" s="608">
        <v>1</v>
      </c>
      <c r="AB67" s="608">
        <v>0</v>
      </c>
      <c r="AC67" s="608">
        <v>0</v>
      </c>
      <c r="AD67" s="32">
        <f t="shared" si="27"/>
        <v>1758</v>
      </c>
      <c r="AE67" s="32">
        <f t="shared" si="28"/>
        <v>19060</v>
      </c>
      <c r="AF67" s="32">
        <f t="shared" si="32"/>
        <v>4667</v>
      </c>
      <c r="AG67" s="37">
        <f t="shared" si="29"/>
        <v>165.5</v>
      </c>
      <c r="AH67" s="32">
        <f t="shared" si="30"/>
        <v>48001</v>
      </c>
      <c r="AI67" s="37">
        <f t="shared" si="31"/>
        <v>151.80000000000001</v>
      </c>
    </row>
    <row r="68" spans="1:35" ht="19.5" hidden="1" customHeight="1">
      <c r="A68" s="611" t="s">
        <v>422</v>
      </c>
      <c r="B68" s="608">
        <v>409</v>
      </c>
      <c r="C68" s="608">
        <v>4070</v>
      </c>
      <c r="D68" s="608">
        <v>1192</v>
      </c>
      <c r="E68" s="608">
        <v>14746</v>
      </c>
      <c r="F68" s="608">
        <v>1</v>
      </c>
      <c r="G68" s="608">
        <v>0</v>
      </c>
      <c r="H68" s="608">
        <v>0</v>
      </c>
      <c r="I68" s="608">
        <v>0</v>
      </c>
      <c r="J68" s="608">
        <v>890</v>
      </c>
      <c r="K68" s="608">
        <v>4316</v>
      </c>
      <c r="L68" s="608">
        <v>1650</v>
      </c>
      <c r="M68" s="608">
        <v>8642</v>
      </c>
      <c r="N68" s="608">
        <v>0</v>
      </c>
      <c r="O68" s="608">
        <v>0</v>
      </c>
      <c r="P68" s="608">
        <v>0</v>
      </c>
      <c r="Q68" s="608">
        <v>0</v>
      </c>
      <c r="R68" s="608">
        <v>0</v>
      </c>
      <c r="S68" s="608">
        <v>0</v>
      </c>
      <c r="T68" s="608">
        <v>0</v>
      </c>
      <c r="U68" s="608">
        <v>0</v>
      </c>
      <c r="V68" s="608">
        <v>0</v>
      </c>
      <c r="W68" s="608">
        <v>1</v>
      </c>
      <c r="X68" s="608">
        <v>0</v>
      </c>
      <c r="Y68" s="608">
        <v>0</v>
      </c>
      <c r="Z68" s="608">
        <v>0</v>
      </c>
      <c r="AA68" s="608">
        <v>29</v>
      </c>
      <c r="AB68" s="608">
        <v>0</v>
      </c>
      <c r="AC68" s="608">
        <v>5</v>
      </c>
      <c r="AD68" s="32">
        <f t="shared" si="27"/>
        <v>1300</v>
      </c>
      <c r="AE68" s="32">
        <f t="shared" si="28"/>
        <v>8416</v>
      </c>
      <c r="AF68" s="32">
        <f t="shared" si="32"/>
        <v>2842</v>
      </c>
      <c r="AG68" s="37">
        <f t="shared" si="29"/>
        <v>118.6</v>
      </c>
      <c r="AH68" s="32">
        <f t="shared" si="30"/>
        <v>23393</v>
      </c>
      <c r="AI68" s="37">
        <f t="shared" si="31"/>
        <v>178</v>
      </c>
    </row>
    <row r="69" spans="1:35" ht="19.5" hidden="1" customHeight="1">
      <c r="A69" s="611" t="s">
        <v>63</v>
      </c>
      <c r="B69" s="608">
        <v>37</v>
      </c>
      <c r="C69" s="608">
        <v>248</v>
      </c>
      <c r="D69" s="608">
        <v>21</v>
      </c>
      <c r="E69" s="608">
        <v>187</v>
      </c>
      <c r="F69" s="608">
        <v>0</v>
      </c>
      <c r="G69" s="608">
        <v>0</v>
      </c>
      <c r="H69" s="608">
        <v>0</v>
      </c>
      <c r="I69" s="608">
        <v>0</v>
      </c>
      <c r="J69" s="608">
        <v>1809</v>
      </c>
      <c r="K69" s="608">
        <v>4115</v>
      </c>
      <c r="L69" s="608">
        <v>1197</v>
      </c>
      <c r="M69" s="608">
        <v>3220</v>
      </c>
      <c r="N69" s="608">
        <v>0</v>
      </c>
      <c r="O69" s="608">
        <v>0</v>
      </c>
      <c r="P69" s="608">
        <v>0</v>
      </c>
      <c r="Q69" s="608">
        <v>0</v>
      </c>
      <c r="R69" s="608">
        <v>564</v>
      </c>
      <c r="S69" s="608">
        <v>1393</v>
      </c>
      <c r="T69" s="608">
        <v>3261</v>
      </c>
      <c r="U69" s="608">
        <v>9118</v>
      </c>
      <c r="V69" s="608">
        <v>0</v>
      </c>
      <c r="W69" s="608">
        <v>0</v>
      </c>
      <c r="X69" s="608">
        <v>0</v>
      </c>
      <c r="Y69" s="608">
        <v>0</v>
      </c>
      <c r="Z69" s="608">
        <v>0</v>
      </c>
      <c r="AA69" s="608">
        <v>0</v>
      </c>
      <c r="AB69" s="608">
        <v>0</v>
      </c>
      <c r="AC69" s="608">
        <v>1</v>
      </c>
      <c r="AD69" s="32">
        <f t="shared" si="27"/>
        <v>2410</v>
      </c>
      <c r="AE69" s="32">
        <f t="shared" si="28"/>
        <v>5756</v>
      </c>
      <c r="AF69" s="32">
        <f t="shared" si="32"/>
        <v>4479</v>
      </c>
      <c r="AG69" s="37">
        <f t="shared" si="29"/>
        <v>85.9</v>
      </c>
      <c r="AH69" s="32">
        <f t="shared" si="30"/>
        <v>12526</v>
      </c>
      <c r="AI69" s="37">
        <f t="shared" si="31"/>
        <v>117.6</v>
      </c>
    </row>
    <row r="70" spans="1:35" ht="19.5" hidden="1" customHeight="1">
      <c r="A70" s="611" t="s">
        <v>67</v>
      </c>
      <c r="B70" s="608">
        <v>280</v>
      </c>
      <c r="C70" s="608">
        <v>2264</v>
      </c>
      <c r="D70" s="608">
        <v>203</v>
      </c>
      <c r="E70" s="608">
        <v>2024</v>
      </c>
      <c r="F70" s="608">
        <v>0</v>
      </c>
      <c r="G70" s="608">
        <v>21</v>
      </c>
      <c r="H70" s="608">
        <v>0</v>
      </c>
      <c r="I70" s="608">
        <v>9</v>
      </c>
      <c r="J70" s="608">
        <v>1128</v>
      </c>
      <c r="K70" s="608">
        <v>3066</v>
      </c>
      <c r="L70" s="608">
        <v>730</v>
      </c>
      <c r="M70" s="608">
        <v>2795</v>
      </c>
      <c r="N70" s="608">
        <v>0</v>
      </c>
      <c r="O70" s="608">
        <v>0</v>
      </c>
      <c r="P70" s="608">
        <v>0</v>
      </c>
      <c r="Q70" s="608">
        <v>0</v>
      </c>
      <c r="R70" s="608">
        <v>0</v>
      </c>
      <c r="S70" s="608">
        <v>0</v>
      </c>
      <c r="T70" s="608">
        <v>1</v>
      </c>
      <c r="U70" s="608">
        <v>2</v>
      </c>
      <c r="V70" s="608">
        <v>0</v>
      </c>
      <c r="W70" s="608">
        <v>0</v>
      </c>
      <c r="X70" s="608">
        <v>0</v>
      </c>
      <c r="Y70" s="608">
        <v>0</v>
      </c>
      <c r="Z70" s="608">
        <v>315</v>
      </c>
      <c r="AA70" s="608">
        <v>792</v>
      </c>
      <c r="AB70" s="608">
        <v>64</v>
      </c>
      <c r="AC70" s="608">
        <v>160</v>
      </c>
      <c r="AD70" s="32">
        <f t="shared" si="27"/>
        <v>1723</v>
      </c>
      <c r="AE70" s="32">
        <f t="shared" si="28"/>
        <v>6143</v>
      </c>
      <c r="AF70" s="32">
        <f t="shared" si="32"/>
        <v>998</v>
      </c>
      <c r="AG70" s="37">
        <f t="shared" si="29"/>
        <v>-42.1</v>
      </c>
      <c r="AH70" s="32">
        <f t="shared" si="30"/>
        <v>4990</v>
      </c>
      <c r="AI70" s="37">
        <f t="shared" si="31"/>
        <v>-18.8</v>
      </c>
    </row>
    <row r="71" spans="1:35" ht="19.5" hidden="1" customHeight="1">
      <c r="A71" s="611" t="s">
        <v>77</v>
      </c>
      <c r="B71" s="608">
        <v>0</v>
      </c>
      <c r="C71" s="608">
        <v>3</v>
      </c>
      <c r="D71" s="608">
        <v>616</v>
      </c>
      <c r="E71" s="608">
        <v>4893</v>
      </c>
      <c r="F71" s="608">
        <v>0</v>
      </c>
      <c r="G71" s="608">
        <v>0</v>
      </c>
      <c r="H71" s="608">
        <v>0</v>
      </c>
      <c r="I71" s="608">
        <v>0</v>
      </c>
      <c r="J71" s="608">
        <v>33</v>
      </c>
      <c r="K71" s="608">
        <v>212</v>
      </c>
      <c r="L71" s="608">
        <v>3014</v>
      </c>
      <c r="M71" s="608">
        <v>9367</v>
      </c>
      <c r="N71" s="608">
        <v>0</v>
      </c>
      <c r="O71" s="608">
        <v>0</v>
      </c>
      <c r="P71" s="608">
        <v>0</v>
      </c>
      <c r="Q71" s="608">
        <v>0</v>
      </c>
      <c r="R71" s="608">
        <v>0</v>
      </c>
      <c r="S71" s="608">
        <v>0</v>
      </c>
      <c r="T71" s="608">
        <v>0</v>
      </c>
      <c r="U71" s="608">
        <v>0</v>
      </c>
      <c r="V71" s="608">
        <v>0</v>
      </c>
      <c r="W71" s="608">
        <v>0</v>
      </c>
      <c r="X71" s="608">
        <v>0</v>
      </c>
      <c r="Y71" s="608">
        <v>0</v>
      </c>
      <c r="Z71" s="608">
        <v>0</v>
      </c>
      <c r="AA71" s="608">
        <v>1</v>
      </c>
      <c r="AB71" s="608">
        <v>0</v>
      </c>
      <c r="AC71" s="608">
        <v>1</v>
      </c>
      <c r="AD71" s="32">
        <f t="shared" si="27"/>
        <v>33</v>
      </c>
      <c r="AE71" s="32">
        <f t="shared" si="28"/>
        <v>216</v>
      </c>
      <c r="AF71" s="32">
        <f t="shared" si="32"/>
        <v>3630</v>
      </c>
      <c r="AG71" s="37">
        <f t="shared" si="29"/>
        <v>10900</v>
      </c>
      <c r="AH71" s="32">
        <f t="shared" si="30"/>
        <v>14261</v>
      </c>
      <c r="AI71" s="37">
        <f t="shared" si="31"/>
        <v>6502.3</v>
      </c>
    </row>
    <row r="72" spans="1:35" ht="19.5" hidden="1" customHeight="1">
      <c r="A72" s="610" t="s">
        <v>510</v>
      </c>
      <c r="B72" s="608">
        <v>52</v>
      </c>
      <c r="C72" s="608">
        <v>377</v>
      </c>
      <c r="D72" s="608">
        <v>30</v>
      </c>
      <c r="E72" s="608">
        <v>253</v>
      </c>
      <c r="F72" s="608">
        <v>0</v>
      </c>
      <c r="G72" s="608">
        <v>0</v>
      </c>
      <c r="H72" s="608">
        <v>0</v>
      </c>
      <c r="I72" s="608">
        <v>0</v>
      </c>
      <c r="J72" s="608">
        <v>1029</v>
      </c>
      <c r="K72" s="608">
        <v>2281</v>
      </c>
      <c r="L72" s="608">
        <v>1916</v>
      </c>
      <c r="M72" s="608">
        <v>4834</v>
      </c>
      <c r="N72" s="608">
        <v>0</v>
      </c>
      <c r="O72" s="608">
        <v>0</v>
      </c>
      <c r="P72" s="608">
        <v>0</v>
      </c>
      <c r="Q72" s="608">
        <v>0</v>
      </c>
      <c r="R72" s="608">
        <v>50</v>
      </c>
      <c r="S72" s="608">
        <v>123</v>
      </c>
      <c r="T72" s="608">
        <v>0</v>
      </c>
      <c r="U72" s="608">
        <v>0</v>
      </c>
      <c r="V72" s="608">
        <v>0</v>
      </c>
      <c r="W72" s="608">
        <v>0</v>
      </c>
      <c r="X72" s="608">
        <v>0</v>
      </c>
      <c r="Y72" s="608">
        <v>0</v>
      </c>
      <c r="Z72" s="608">
        <v>0</v>
      </c>
      <c r="AA72" s="608">
        <v>0</v>
      </c>
      <c r="AB72" s="608">
        <v>0</v>
      </c>
      <c r="AC72" s="608">
        <v>1</v>
      </c>
      <c r="AD72" s="32">
        <f t="shared" si="27"/>
        <v>1131</v>
      </c>
      <c r="AE72" s="32">
        <f t="shared" si="28"/>
        <v>2781</v>
      </c>
      <c r="AF72" s="32">
        <f t="shared" si="32"/>
        <v>1946</v>
      </c>
      <c r="AG72" s="37">
        <f t="shared" si="29"/>
        <v>72.099999999999994</v>
      </c>
      <c r="AH72" s="32">
        <f t="shared" si="30"/>
        <v>5088</v>
      </c>
      <c r="AI72" s="37">
        <f t="shared" si="31"/>
        <v>83</v>
      </c>
    </row>
    <row r="73" spans="1:35" ht="19.5" hidden="1" customHeight="1">
      <c r="A73" s="611" t="s">
        <v>81</v>
      </c>
      <c r="B73" s="608">
        <v>0</v>
      </c>
      <c r="C73" s="608">
        <v>0</v>
      </c>
      <c r="D73" s="608">
        <v>0</v>
      </c>
      <c r="E73" s="608">
        <v>0</v>
      </c>
      <c r="F73" s="608">
        <v>0</v>
      </c>
      <c r="G73" s="608">
        <v>0</v>
      </c>
      <c r="H73" s="608">
        <v>0</v>
      </c>
      <c r="I73" s="608">
        <v>0</v>
      </c>
      <c r="J73" s="608">
        <v>1011</v>
      </c>
      <c r="K73" s="608">
        <v>2246</v>
      </c>
      <c r="L73" s="608">
        <v>2710</v>
      </c>
      <c r="M73" s="608">
        <v>6852</v>
      </c>
      <c r="N73" s="608">
        <v>0</v>
      </c>
      <c r="O73" s="608">
        <v>0</v>
      </c>
      <c r="P73" s="608">
        <v>0</v>
      </c>
      <c r="Q73" s="608">
        <v>0</v>
      </c>
      <c r="R73" s="608">
        <v>0</v>
      </c>
      <c r="S73" s="608">
        <v>0</v>
      </c>
      <c r="T73" s="608">
        <v>0</v>
      </c>
      <c r="U73" s="608">
        <v>0</v>
      </c>
      <c r="V73" s="608">
        <v>0</v>
      </c>
      <c r="W73" s="608">
        <v>0</v>
      </c>
      <c r="X73" s="608">
        <v>0</v>
      </c>
      <c r="Y73" s="608">
        <v>0</v>
      </c>
      <c r="Z73" s="608">
        <v>0</v>
      </c>
      <c r="AA73" s="608">
        <v>0</v>
      </c>
      <c r="AB73" s="608">
        <v>0</v>
      </c>
      <c r="AC73" s="608">
        <v>0</v>
      </c>
      <c r="AD73" s="32">
        <f t="shared" si="27"/>
        <v>1011</v>
      </c>
      <c r="AE73" s="32">
        <f t="shared" si="28"/>
        <v>2246</v>
      </c>
      <c r="AF73" s="32">
        <f t="shared" si="32"/>
        <v>2710</v>
      </c>
      <c r="AG73" s="37">
        <f t="shared" si="29"/>
        <v>168.1</v>
      </c>
      <c r="AH73" s="32">
        <f t="shared" si="30"/>
        <v>6852</v>
      </c>
      <c r="AI73" s="37">
        <f t="shared" si="31"/>
        <v>205.1</v>
      </c>
    </row>
    <row r="74" spans="1:35" ht="19.5" hidden="1" customHeight="1">
      <c r="A74" s="610" t="s">
        <v>59</v>
      </c>
      <c r="B74" s="608">
        <v>366</v>
      </c>
      <c r="C74" s="608">
        <v>2682</v>
      </c>
      <c r="D74" s="608">
        <v>850</v>
      </c>
      <c r="E74" s="608">
        <v>6689</v>
      </c>
      <c r="F74" s="608">
        <v>14</v>
      </c>
      <c r="G74" s="608">
        <v>141</v>
      </c>
      <c r="H74" s="608">
        <v>9</v>
      </c>
      <c r="I74" s="608">
        <v>138</v>
      </c>
      <c r="J74" s="608">
        <v>647</v>
      </c>
      <c r="K74" s="608">
        <v>3310</v>
      </c>
      <c r="L74" s="608">
        <v>485</v>
      </c>
      <c r="M74" s="608">
        <v>2262</v>
      </c>
      <c r="N74" s="608">
        <v>0</v>
      </c>
      <c r="O74" s="608">
        <v>0</v>
      </c>
      <c r="P74" s="608">
        <v>0</v>
      </c>
      <c r="Q74" s="608">
        <v>3</v>
      </c>
      <c r="R74" s="608">
        <v>283</v>
      </c>
      <c r="S74" s="608">
        <v>763</v>
      </c>
      <c r="T74" s="608">
        <v>322</v>
      </c>
      <c r="U74" s="608">
        <v>973</v>
      </c>
      <c r="V74" s="608">
        <v>0</v>
      </c>
      <c r="W74" s="608">
        <v>5</v>
      </c>
      <c r="X74" s="608">
        <v>0</v>
      </c>
      <c r="Y74" s="608">
        <v>1</v>
      </c>
      <c r="Z74" s="608">
        <v>4</v>
      </c>
      <c r="AA74" s="608">
        <v>194</v>
      </c>
      <c r="AB74" s="608">
        <v>223</v>
      </c>
      <c r="AC74" s="608">
        <v>431</v>
      </c>
      <c r="AD74" s="32">
        <f t="shared" si="27"/>
        <v>1314</v>
      </c>
      <c r="AE74" s="32">
        <f t="shared" si="28"/>
        <v>7095</v>
      </c>
      <c r="AF74" s="32">
        <f t="shared" si="32"/>
        <v>1889</v>
      </c>
      <c r="AG74" s="37">
        <f t="shared" si="29"/>
        <v>43.8</v>
      </c>
      <c r="AH74" s="32">
        <f t="shared" si="30"/>
        <v>10497</v>
      </c>
      <c r="AI74" s="37">
        <f t="shared" si="31"/>
        <v>47.9</v>
      </c>
    </row>
    <row r="75" spans="1:35" ht="19.5" hidden="1" customHeight="1">
      <c r="A75" s="610" t="s">
        <v>506</v>
      </c>
      <c r="B75" s="608">
        <v>39</v>
      </c>
      <c r="C75" s="608">
        <v>329</v>
      </c>
      <c r="D75" s="608">
        <v>25</v>
      </c>
      <c r="E75" s="608">
        <v>209</v>
      </c>
      <c r="F75" s="608">
        <v>0</v>
      </c>
      <c r="G75" s="608">
        <v>0</v>
      </c>
      <c r="H75" s="608">
        <v>0</v>
      </c>
      <c r="I75" s="608">
        <v>0</v>
      </c>
      <c r="J75" s="608">
        <v>1468</v>
      </c>
      <c r="K75" s="608">
        <v>3450</v>
      </c>
      <c r="L75" s="608">
        <v>998</v>
      </c>
      <c r="M75" s="608">
        <v>2404</v>
      </c>
      <c r="N75" s="608">
        <v>25</v>
      </c>
      <c r="O75" s="608">
        <v>55</v>
      </c>
      <c r="P75" s="608">
        <v>0</v>
      </c>
      <c r="Q75" s="608">
        <v>0</v>
      </c>
      <c r="R75" s="608">
        <v>463</v>
      </c>
      <c r="S75" s="608">
        <v>1059</v>
      </c>
      <c r="T75" s="608">
        <v>0</v>
      </c>
      <c r="U75" s="608">
        <v>3</v>
      </c>
      <c r="V75" s="608">
        <v>0</v>
      </c>
      <c r="W75" s="608">
        <v>0</v>
      </c>
      <c r="X75" s="608">
        <v>15</v>
      </c>
      <c r="Y75" s="608">
        <v>282</v>
      </c>
      <c r="Z75" s="608">
        <v>0</v>
      </c>
      <c r="AA75" s="608">
        <v>14</v>
      </c>
      <c r="AB75" s="608">
        <v>0</v>
      </c>
      <c r="AC75" s="608">
        <v>0</v>
      </c>
      <c r="AD75" s="32">
        <f t="shared" si="27"/>
        <v>1995</v>
      </c>
      <c r="AE75" s="32">
        <f t="shared" si="28"/>
        <v>4907</v>
      </c>
      <c r="AF75" s="32">
        <f t="shared" si="32"/>
        <v>1038</v>
      </c>
      <c r="AG75" s="37">
        <f t="shared" si="29"/>
        <v>-48</v>
      </c>
      <c r="AH75" s="32">
        <f t="shared" si="30"/>
        <v>2898</v>
      </c>
      <c r="AI75" s="37">
        <f t="shared" si="31"/>
        <v>-40.9</v>
      </c>
    </row>
    <row r="76" spans="1:35" ht="19.5" hidden="1" customHeight="1">
      <c r="A76" s="611" t="s">
        <v>83</v>
      </c>
      <c r="B76" s="608">
        <v>362</v>
      </c>
      <c r="C76" s="608">
        <v>2292</v>
      </c>
      <c r="D76" s="608">
        <v>556</v>
      </c>
      <c r="E76" s="608">
        <v>4477</v>
      </c>
      <c r="F76" s="608">
        <v>0</v>
      </c>
      <c r="G76" s="608">
        <v>0</v>
      </c>
      <c r="H76" s="608">
        <v>0</v>
      </c>
      <c r="I76" s="608">
        <v>0</v>
      </c>
      <c r="J76" s="608">
        <v>610</v>
      </c>
      <c r="K76" s="608">
        <v>1483</v>
      </c>
      <c r="L76" s="608">
        <v>750</v>
      </c>
      <c r="M76" s="608">
        <v>1875</v>
      </c>
      <c r="N76" s="608">
        <v>0</v>
      </c>
      <c r="O76" s="608">
        <v>0</v>
      </c>
      <c r="P76" s="608">
        <v>0</v>
      </c>
      <c r="Q76" s="608">
        <v>0</v>
      </c>
      <c r="R76" s="608">
        <v>0</v>
      </c>
      <c r="S76" s="608">
        <v>0</v>
      </c>
      <c r="T76" s="608">
        <v>50</v>
      </c>
      <c r="U76" s="608">
        <v>149</v>
      </c>
      <c r="V76" s="608">
        <v>0</v>
      </c>
      <c r="W76" s="608">
        <v>0</v>
      </c>
      <c r="X76" s="608">
        <v>0</v>
      </c>
      <c r="Y76" s="608">
        <v>0</v>
      </c>
      <c r="Z76" s="608">
        <v>0</v>
      </c>
      <c r="AA76" s="608">
        <v>0</v>
      </c>
      <c r="AB76" s="608">
        <v>0</v>
      </c>
      <c r="AC76" s="608">
        <v>0</v>
      </c>
      <c r="AD76" s="32">
        <f t="shared" si="27"/>
        <v>972</v>
      </c>
      <c r="AE76" s="32">
        <f t="shared" si="28"/>
        <v>3775</v>
      </c>
      <c r="AF76" s="32">
        <f t="shared" si="32"/>
        <v>1356</v>
      </c>
      <c r="AG76" s="37">
        <f t="shared" si="29"/>
        <v>39.5</v>
      </c>
      <c r="AH76" s="32">
        <f t="shared" si="30"/>
        <v>6501</v>
      </c>
      <c r="AI76" s="37">
        <f t="shared" si="31"/>
        <v>72.2</v>
      </c>
    </row>
    <row r="77" spans="1:35" ht="19.5" hidden="1" customHeight="1">
      <c r="A77" s="611" t="s">
        <v>511</v>
      </c>
      <c r="B77" s="608">
        <v>0</v>
      </c>
      <c r="C77" s="608">
        <v>0</v>
      </c>
      <c r="D77" s="608">
        <v>0</v>
      </c>
      <c r="E77" s="608">
        <v>0</v>
      </c>
      <c r="F77" s="608">
        <v>0</v>
      </c>
      <c r="G77" s="608">
        <v>0</v>
      </c>
      <c r="H77" s="608">
        <v>0</v>
      </c>
      <c r="I77" s="608">
        <v>0</v>
      </c>
      <c r="J77" s="608">
        <v>204</v>
      </c>
      <c r="K77" s="608">
        <v>428</v>
      </c>
      <c r="L77" s="608">
        <v>112</v>
      </c>
      <c r="M77" s="608">
        <v>378</v>
      </c>
      <c r="N77" s="608">
        <v>0</v>
      </c>
      <c r="O77" s="608">
        <v>0</v>
      </c>
      <c r="P77" s="608">
        <v>0</v>
      </c>
      <c r="Q77" s="608">
        <v>0</v>
      </c>
      <c r="R77" s="608">
        <v>151</v>
      </c>
      <c r="S77" s="608">
        <v>362</v>
      </c>
      <c r="T77" s="608">
        <v>100</v>
      </c>
      <c r="U77" s="608">
        <v>273</v>
      </c>
      <c r="V77" s="608">
        <v>0</v>
      </c>
      <c r="W77" s="608">
        <v>0</v>
      </c>
      <c r="X77" s="608">
        <v>0</v>
      </c>
      <c r="Y77" s="608">
        <v>0</v>
      </c>
      <c r="Z77" s="608">
        <v>0</v>
      </c>
      <c r="AA77" s="608">
        <v>0</v>
      </c>
      <c r="AB77" s="608">
        <v>0</v>
      </c>
      <c r="AC77" s="608">
        <v>0</v>
      </c>
      <c r="AD77" s="32">
        <f t="shared" si="27"/>
        <v>355</v>
      </c>
      <c r="AE77" s="32">
        <f t="shared" si="28"/>
        <v>790</v>
      </c>
      <c r="AF77" s="32">
        <f t="shared" si="32"/>
        <v>212</v>
      </c>
      <c r="AG77" s="37">
        <f t="shared" si="29"/>
        <v>-40.299999999999997</v>
      </c>
      <c r="AH77" s="32">
        <f t="shared" si="30"/>
        <v>651</v>
      </c>
      <c r="AI77" s="37">
        <f t="shared" si="31"/>
        <v>-17.600000000000001</v>
      </c>
    </row>
    <row r="78" spans="1:35" ht="19.5" hidden="1" customHeight="1">
      <c r="A78" s="30" t="s">
        <v>71</v>
      </c>
      <c r="B78" s="33">
        <f t="shared" ref="B78:G78" si="33">B79-SUM(B48:B77)</f>
        <v>2845</v>
      </c>
      <c r="C78" s="33">
        <f t="shared" si="33"/>
        <v>23043</v>
      </c>
      <c r="D78" s="33">
        <f t="shared" si="33"/>
        <v>2213</v>
      </c>
      <c r="E78" s="33">
        <f t="shared" si="33"/>
        <v>23224</v>
      </c>
      <c r="F78" s="33">
        <f t="shared" si="33"/>
        <v>228</v>
      </c>
      <c r="G78" s="33">
        <f t="shared" si="33"/>
        <v>2498</v>
      </c>
      <c r="H78" s="33">
        <f t="shared" ref="H78:AC78" si="34">H79-SUM(H48:H77)</f>
        <v>302</v>
      </c>
      <c r="I78" s="33">
        <f t="shared" si="34"/>
        <v>3499</v>
      </c>
      <c r="J78" s="33">
        <f t="shared" si="34"/>
        <v>7884</v>
      </c>
      <c r="K78" s="33">
        <f t="shared" si="34"/>
        <v>31636</v>
      </c>
      <c r="L78" s="33">
        <f t="shared" si="34"/>
        <v>8239</v>
      </c>
      <c r="M78" s="33">
        <f t="shared" si="34"/>
        <v>33740</v>
      </c>
      <c r="N78" s="33">
        <f t="shared" si="34"/>
        <v>817</v>
      </c>
      <c r="O78" s="33">
        <f t="shared" si="34"/>
        <v>1795</v>
      </c>
      <c r="P78" s="33">
        <f t="shared" si="34"/>
        <v>274</v>
      </c>
      <c r="Q78" s="33">
        <f t="shared" si="34"/>
        <v>349</v>
      </c>
      <c r="R78" s="33">
        <f t="shared" si="34"/>
        <v>4892</v>
      </c>
      <c r="S78" s="33">
        <f t="shared" si="34"/>
        <v>12223</v>
      </c>
      <c r="T78" s="33">
        <f t="shared" si="34"/>
        <v>1697</v>
      </c>
      <c r="U78" s="33">
        <f t="shared" si="34"/>
        <v>4876</v>
      </c>
      <c r="V78" s="33">
        <f t="shared" si="34"/>
        <v>7</v>
      </c>
      <c r="W78" s="33">
        <f t="shared" si="34"/>
        <v>55</v>
      </c>
      <c r="X78" s="33">
        <f t="shared" si="34"/>
        <v>2</v>
      </c>
      <c r="Y78" s="33">
        <f t="shared" si="34"/>
        <v>20</v>
      </c>
      <c r="Z78" s="33">
        <f t="shared" si="34"/>
        <v>402</v>
      </c>
      <c r="AA78" s="33">
        <f t="shared" si="34"/>
        <v>5272</v>
      </c>
      <c r="AB78" s="33">
        <f t="shared" si="34"/>
        <v>279</v>
      </c>
      <c r="AC78" s="33">
        <f t="shared" si="34"/>
        <v>4644</v>
      </c>
      <c r="AD78" s="33">
        <f>AD79-SUM(AD48:AD77)</f>
        <v>17075</v>
      </c>
      <c r="AE78" s="33">
        <f>AE79-SUM(AE48:AE77)</f>
        <v>76522</v>
      </c>
      <c r="AF78" s="33">
        <f>AF79-SUM(AF48:AF77)</f>
        <v>13006</v>
      </c>
      <c r="AG78" s="37">
        <f t="shared" si="29"/>
        <v>-23.8</v>
      </c>
      <c r="AH78" s="33">
        <f>AH79-SUM(AH48:AH77)</f>
        <v>70352</v>
      </c>
      <c r="AI78" s="38">
        <f t="shared" si="31"/>
        <v>-8.1</v>
      </c>
    </row>
    <row r="79" spans="1:35" ht="19.5" hidden="1" customHeight="1">
      <c r="A79" s="427" t="s">
        <v>72</v>
      </c>
      <c r="B79" s="42">
        <v>104719</v>
      </c>
      <c r="C79" s="42">
        <v>704385</v>
      </c>
      <c r="D79" s="42">
        <v>114544</v>
      </c>
      <c r="E79" s="42">
        <v>974905</v>
      </c>
      <c r="F79" s="42">
        <v>2046</v>
      </c>
      <c r="G79" s="368">
        <v>21473</v>
      </c>
      <c r="H79" s="42">
        <v>2960</v>
      </c>
      <c r="I79" s="42">
        <v>26271</v>
      </c>
      <c r="J79" s="42">
        <v>193548</v>
      </c>
      <c r="K79" s="42">
        <v>587514</v>
      </c>
      <c r="L79" s="42">
        <v>186435</v>
      </c>
      <c r="M79" s="42">
        <v>645345</v>
      </c>
      <c r="N79" s="42">
        <v>60151</v>
      </c>
      <c r="O79" s="42">
        <v>126180</v>
      </c>
      <c r="P79" s="42">
        <v>52175</v>
      </c>
      <c r="Q79" s="42">
        <v>115034</v>
      </c>
      <c r="R79" s="42">
        <v>92556</v>
      </c>
      <c r="S79" s="42">
        <v>222214</v>
      </c>
      <c r="T79" s="42">
        <v>91818</v>
      </c>
      <c r="U79" s="42">
        <v>259846</v>
      </c>
      <c r="V79" s="42">
        <v>242</v>
      </c>
      <c r="W79" s="42">
        <v>7146</v>
      </c>
      <c r="X79" s="42">
        <v>307</v>
      </c>
      <c r="Y79" s="42">
        <v>8967</v>
      </c>
      <c r="Z79" s="42">
        <v>3144</v>
      </c>
      <c r="AA79" s="368">
        <v>39278</v>
      </c>
      <c r="AB79" s="42">
        <v>2337</v>
      </c>
      <c r="AC79" s="42">
        <v>35577</v>
      </c>
      <c r="AD79" s="35">
        <f>SUM(B79+F79+J79+N79+R79+V79+Z79)</f>
        <v>456406</v>
      </c>
      <c r="AE79" s="35">
        <f>SUM(C79+G79+K79+O79+S79+W79+AA79)</f>
        <v>1708190</v>
      </c>
      <c r="AF79" s="35">
        <f>SUM(D79+H79+L79+P79+T79+X79+AB79)</f>
        <v>450576</v>
      </c>
      <c r="AG79" s="220">
        <f t="shared" si="29"/>
        <v>-1.3</v>
      </c>
      <c r="AH79" s="35">
        <f>SUM(E79+I79+M79+Q79+U79+Y79+AC79)</f>
        <v>2065945</v>
      </c>
      <c r="AI79" s="38">
        <f t="shared" si="31"/>
        <v>20.9</v>
      </c>
    </row>
    <row r="80" spans="1:35" hidden="1">
      <c r="I80" s="277"/>
    </row>
    <row r="81" spans="1:35" s="605" customFormat="1" ht="22.5" hidden="1" customHeight="1">
      <c r="A81" s="736" t="s">
        <v>574</v>
      </c>
      <c r="B81" s="736"/>
      <c r="C81" s="736"/>
      <c r="D81" s="736"/>
      <c r="E81" s="736"/>
      <c r="F81" s="736"/>
      <c r="G81" s="736"/>
      <c r="H81" s="736"/>
      <c r="I81" s="736"/>
      <c r="J81" s="736"/>
      <c r="K81" s="736"/>
      <c r="L81" s="736"/>
      <c r="M81" s="736"/>
      <c r="N81" s="736"/>
      <c r="O81" s="736"/>
      <c r="P81" s="736"/>
      <c r="Q81" s="736"/>
      <c r="R81" s="736"/>
      <c r="S81" s="736"/>
      <c r="T81" s="736"/>
      <c r="U81" s="736"/>
      <c r="V81" s="736"/>
      <c r="W81" s="736"/>
      <c r="X81" s="736"/>
      <c r="Y81" s="736"/>
      <c r="Z81" s="736"/>
      <c r="AA81" s="736"/>
      <c r="AB81" s="736"/>
      <c r="AC81" s="736"/>
      <c r="AD81" s="736"/>
      <c r="AE81" s="736"/>
      <c r="AF81" s="736"/>
      <c r="AG81" s="736"/>
      <c r="AH81" s="736"/>
      <c r="AI81" s="736"/>
    </row>
    <row r="82" spans="1:35" s="605" customFormat="1" ht="16.5" hidden="1" customHeight="1">
      <c r="A82" s="20"/>
      <c r="B82" s="21"/>
      <c r="C82" s="21"/>
      <c r="D82" s="21"/>
      <c r="E82" s="21"/>
      <c r="F82" s="21"/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2"/>
      <c r="S82" s="22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s="605" customFormat="1" ht="16.5" hidden="1" customHeight="1">
      <c r="A83" s="23"/>
      <c r="B83" s="24"/>
      <c r="C83" s="24"/>
      <c r="D83" s="24"/>
      <c r="E83" s="24"/>
      <c r="F83" s="24"/>
      <c r="G83" s="23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S83" s="25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6" t="s">
        <v>0</v>
      </c>
    </row>
    <row r="84" spans="1:35" s="605" customFormat="1" ht="21.75" hidden="1" customHeight="1">
      <c r="A84" s="758" t="s">
        <v>36</v>
      </c>
      <c r="B84" s="765" t="s">
        <v>575</v>
      </c>
      <c r="C84" s="766"/>
      <c r="D84" s="766"/>
      <c r="E84" s="767"/>
      <c r="F84" s="765" t="s">
        <v>576</v>
      </c>
      <c r="G84" s="766"/>
      <c r="H84" s="766"/>
      <c r="I84" s="767"/>
      <c r="J84" s="765" t="s">
        <v>577</v>
      </c>
      <c r="K84" s="766"/>
      <c r="L84" s="766"/>
      <c r="M84" s="767"/>
      <c r="N84" s="765" t="s">
        <v>578</v>
      </c>
      <c r="O84" s="766"/>
      <c r="P84" s="766"/>
      <c r="Q84" s="767"/>
      <c r="R84" s="765" t="s">
        <v>579</v>
      </c>
      <c r="S84" s="766"/>
      <c r="T84" s="766"/>
      <c r="U84" s="767"/>
      <c r="V84" s="765" t="s">
        <v>580</v>
      </c>
      <c r="W84" s="766"/>
      <c r="X84" s="766"/>
      <c r="Y84" s="767"/>
      <c r="Z84" s="765" t="s">
        <v>581</v>
      </c>
      <c r="AA84" s="766"/>
      <c r="AB84" s="766"/>
      <c r="AC84" s="767"/>
      <c r="AD84" s="765" t="s">
        <v>582</v>
      </c>
      <c r="AE84" s="766"/>
      <c r="AF84" s="766"/>
      <c r="AG84" s="766"/>
      <c r="AH84" s="766"/>
      <c r="AI84" s="767"/>
    </row>
    <row r="85" spans="1:35" s="605" customFormat="1" ht="21" hidden="1" customHeight="1">
      <c r="A85" s="836"/>
      <c r="B85" s="765" t="s">
        <v>431</v>
      </c>
      <c r="C85" s="767"/>
      <c r="D85" s="765" t="s">
        <v>503</v>
      </c>
      <c r="E85" s="767"/>
      <c r="F85" s="765" t="s">
        <v>431</v>
      </c>
      <c r="G85" s="767"/>
      <c r="H85" s="765" t="s">
        <v>503</v>
      </c>
      <c r="I85" s="767"/>
      <c r="J85" s="765" t="s">
        <v>431</v>
      </c>
      <c r="K85" s="767"/>
      <c r="L85" s="765" t="s">
        <v>503</v>
      </c>
      <c r="M85" s="767"/>
      <c r="N85" s="765" t="s">
        <v>431</v>
      </c>
      <c r="O85" s="767"/>
      <c r="P85" s="765" t="s">
        <v>503</v>
      </c>
      <c r="Q85" s="767"/>
      <c r="R85" s="765" t="s">
        <v>431</v>
      </c>
      <c r="S85" s="767"/>
      <c r="T85" s="765" t="s">
        <v>503</v>
      </c>
      <c r="U85" s="767"/>
      <c r="V85" s="765" t="s">
        <v>431</v>
      </c>
      <c r="W85" s="767"/>
      <c r="X85" s="765" t="s">
        <v>503</v>
      </c>
      <c r="Y85" s="767"/>
      <c r="Z85" s="765" t="s">
        <v>431</v>
      </c>
      <c r="AA85" s="767"/>
      <c r="AB85" s="765" t="s">
        <v>503</v>
      </c>
      <c r="AC85" s="767"/>
      <c r="AD85" s="765" t="s">
        <v>431</v>
      </c>
      <c r="AE85" s="767"/>
      <c r="AF85" s="765" t="s">
        <v>503</v>
      </c>
      <c r="AG85" s="766"/>
      <c r="AH85" s="766"/>
      <c r="AI85" s="767"/>
    </row>
    <row r="86" spans="1:35" s="605" customFormat="1" hidden="1">
      <c r="A86" s="836"/>
      <c r="B86" s="758" t="s">
        <v>37</v>
      </c>
      <c r="C86" s="758" t="s">
        <v>38</v>
      </c>
      <c r="D86" s="758" t="s">
        <v>39</v>
      </c>
      <c r="E86" s="758" t="s">
        <v>38</v>
      </c>
      <c r="F86" s="758" t="s">
        <v>40</v>
      </c>
      <c r="G86" s="758" t="s">
        <v>38</v>
      </c>
      <c r="H86" s="758" t="s">
        <v>39</v>
      </c>
      <c r="I86" s="758" t="s">
        <v>38</v>
      </c>
      <c r="J86" s="758" t="s">
        <v>37</v>
      </c>
      <c r="K86" s="758" t="s">
        <v>38</v>
      </c>
      <c r="L86" s="758" t="s">
        <v>39</v>
      </c>
      <c r="M86" s="758" t="s">
        <v>38</v>
      </c>
      <c r="N86" s="758" t="s">
        <v>37</v>
      </c>
      <c r="O86" s="758" t="s">
        <v>38</v>
      </c>
      <c r="P86" s="758" t="s">
        <v>39</v>
      </c>
      <c r="Q86" s="758" t="s">
        <v>38</v>
      </c>
      <c r="R86" s="758" t="s">
        <v>37</v>
      </c>
      <c r="S86" s="758" t="s">
        <v>38</v>
      </c>
      <c r="T86" s="758" t="s">
        <v>39</v>
      </c>
      <c r="U86" s="758" t="s">
        <v>38</v>
      </c>
      <c r="V86" s="758" t="s">
        <v>37</v>
      </c>
      <c r="W86" s="758" t="s">
        <v>38</v>
      </c>
      <c r="X86" s="758" t="s">
        <v>41</v>
      </c>
      <c r="Y86" s="758" t="s">
        <v>38</v>
      </c>
      <c r="Z86" s="758" t="s">
        <v>37</v>
      </c>
      <c r="AA86" s="758" t="s">
        <v>38</v>
      </c>
      <c r="AB86" s="758" t="s">
        <v>39</v>
      </c>
      <c r="AC86" s="758" t="s">
        <v>38</v>
      </c>
      <c r="AD86" s="758" t="s">
        <v>37</v>
      </c>
      <c r="AE86" s="758" t="s">
        <v>38</v>
      </c>
      <c r="AF86" s="772" t="s">
        <v>39</v>
      </c>
      <c r="AG86" s="27"/>
      <c r="AH86" s="772" t="s">
        <v>38</v>
      </c>
      <c r="AI86" s="27"/>
    </row>
    <row r="87" spans="1:35" s="605" customFormat="1" ht="17.25" hidden="1" thickBot="1">
      <c r="A87" s="835"/>
      <c r="B87" s="835"/>
      <c r="C87" s="835"/>
      <c r="D87" s="835"/>
      <c r="E87" s="835"/>
      <c r="F87" s="835"/>
      <c r="G87" s="835"/>
      <c r="H87" s="835"/>
      <c r="I87" s="835"/>
      <c r="J87" s="835"/>
      <c r="K87" s="835"/>
      <c r="L87" s="835"/>
      <c r="M87" s="835"/>
      <c r="N87" s="835"/>
      <c r="O87" s="835"/>
      <c r="P87" s="835"/>
      <c r="Q87" s="835"/>
      <c r="R87" s="835"/>
      <c r="S87" s="835"/>
      <c r="T87" s="835"/>
      <c r="U87" s="835"/>
      <c r="V87" s="835"/>
      <c r="W87" s="835"/>
      <c r="X87" s="835"/>
      <c r="Y87" s="835"/>
      <c r="Z87" s="835"/>
      <c r="AA87" s="835"/>
      <c r="AB87" s="835"/>
      <c r="AC87" s="835"/>
      <c r="AD87" s="835"/>
      <c r="AE87" s="835"/>
      <c r="AF87" s="834"/>
      <c r="AG87" s="28" t="s">
        <v>42</v>
      </c>
      <c r="AH87" s="834"/>
      <c r="AI87" s="28" t="s">
        <v>42</v>
      </c>
    </row>
    <row r="88" spans="1:35" s="605" customFormat="1" ht="19.5" hidden="1" customHeight="1" thickTop="1">
      <c r="A88" s="611" t="s">
        <v>43</v>
      </c>
      <c r="B88" s="608">
        <v>52172</v>
      </c>
      <c r="C88" s="608">
        <v>360563</v>
      </c>
      <c r="D88" s="608">
        <v>81306</v>
      </c>
      <c r="E88" s="608">
        <v>676329</v>
      </c>
      <c r="F88" s="608">
        <v>1091</v>
      </c>
      <c r="G88" s="608">
        <v>6713</v>
      </c>
      <c r="H88" s="608">
        <v>1419</v>
      </c>
      <c r="I88" s="608">
        <v>10493</v>
      </c>
      <c r="J88" s="608">
        <v>60934</v>
      </c>
      <c r="K88" s="608">
        <v>167643</v>
      </c>
      <c r="L88" s="608">
        <v>61911</v>
      </c>
      <c r="M88" s="608">
        <v>196066</v>
      </c>
      <c r="N88" s="608">
        <v>1142</v>
      </c>
      <c r="O88" s="608">
        <v>2717</v>
      </c>
      <c r="P88" s="608">
        <v>129</v>
      </c>
      <c r="Q88" s="608">
        <v>333</v>
      </c>
      <c r="R88" s="608">
        <v>10864</v>
      </c>
      <c r="S88" s="608">
        <v>24660</v>
      </c>
      <c r="T88" s="608">
        <v>21224</v>
      </c>
      <c r="U88" s="608">
        <v>59601</v>
      </c>
      <c r="V88" s="608">
        <v>55</v>
      </c>
      <c r="W88" s="608">
        <v>1955</v>
      </c>
      <c r="X88" s="608">
        <v>89</v>
      </c>
      <c r="Y88" s="608">
        <v>3061</v>
      </c>
      <c r="Z88" s="608">
        <v>1744</v>
      </c>
      <c r="AA88" s="608">
        <v>18331</v>
      </c>
      <c r="AB88" s="608">
        <v>529</v>
      </c>
      <c r="AC88" s="608">
        <v>20029</v>
      </c>
      <c r="AD88" s="32">
        <f t="shared" ref="AD88:AD117" si="35">SUM(B88+F88+J88+N88+R88+V88+Z88)</f>
        <v>128002</v>
      </c>
      <c r="AE88" s="32">
        <f>SUM(C88+G88+K88+O88+S88+W88+AA88)</f>
        <v>582582</v>
      </c>
      <c r="AF88" s="32">
        <f>SUM(D88+H88+L88+P88+T88+X88+AB88)</f>
        <v>166607</v>
      </c>
      <c r="AG88" s="37">
        <f>ROUND(((AF88/AD88-1)*100),1)</f>
        <v>30.2</v>
      </c>
      <c r="AH88" s="32">
        <f>SUM(E88+I88+M88+Q88+U88+Y88+AC88)</f>
        <v>965912</v>
      </c>
      <c r="AI88" s="37">
        <f>ROUND(((AH88/AE88-1)*100),1)</f>
        <v>65.8</v>
      </c>
    </row>
    <row r="89" spans="1:35" s="605" customFormat="1" ht="19.5" hidden="1" customHeight="1">
      <c r="A89" s="611" t="s">
        <v>44</v>
      </c>
      <c r="B89" s="608">
        <v>17098</v>
      </c>
      <c r="C89" s="608">
        <v>129846</v>
      </c>
      <c r="D89" s="608">
        <v>17626</v>
      </c>
      <c r="E89" s="608">
        <v>174437</v>
      </c>
      <c r="F89" s="608">
        <v>78</v>
      </c>
      <c r="G89" s="608">
        <v>2841</v>
      </c>
      <c r="H89" s="608">
        <v>50</v>
      </c>
      <c r="I89" s="608">
        <v>1637</v>
      </c>
      <c r="J89" s="608">
        <v>61776</v>
      </c>
      <c r="K89" s="608">
        <v>165226</v>
      </c>
      <c r="L89" s="608">
        <v>59289</v>
      </c>
      <c r="M89" s="608">
        <v>177366</v>
      </c>
      <c r="N89" s="608">
        <v>24542</v>
      </c>
      <c r="O89" s="608">
        <v>51111</v>
      </c>
      <c r="P89" s="608">
        <v>28265</v>
      </c>
      <c r="Q89" s="608">
        <v>62821</v>
      </c>
      <c r="R89" s="608">
        <v>20021</v>
      </c>
      <c r="S89" s="608">
        <v>48603</v>
      </c>
      <c r="T89" s="608">
        <v>30335</v>
      </c>
      <c r="U89" s="608">
        <v>87762</v>
      </c>
      <c r="V89" s="608">
        <v>72</v>
      </c>
      <c r="W89" s="608">
        <v>1274</v>
      </c>
      <c r="X89" s="608">
        <v>86</v>
      </c>
      <c r="Y89" s="608">
        <v>2059</v>
      </c>
      <c r="Z89" s="608">
        <v>34</v>
      </c>
      <c r="AA89" s="608">
        <v>2349</v>
      </c>
      <c r="AB89" s="608">
        <v>20</v>
      </c>
      <c r="AC89" s="608">
        <v>1153</v>
      </c>
      <c r="AD89" s="32">
        <f t="shared" si="35"/>
        <v>123621</v>
      </c>
      <c r="AE89" s="32">
        <f t="shared" ref="AE89:AE117" si="36">SUM(C89+G89+K89+O89+S89+W89+AA89)</f>
        <v>401250</v>
      </c>
      <c r="AF89" s="32">
        <f>SUM(D89+H89+L89+P89+T89+X89+AB89)</f>
        <v>135671</v>
      </c>
      <c r="AG89" s="37">
        <f t="shared" ref="AG89:AG119" si="37">ROUND(((AF89/AD89-1)*100),1)</f>
        <v>9.6999999999999993</v>
      </c>
      <c r="AH89" s="32">
        <f t="shared" ref="AH89:AH117" si="38">SUM(E89+I89+M89+Q89+U89+Y89+AC89)</f>
        <v>507235</v>
      </c>
      <c r="AI89" s="37">
        <f t="shared" ref="AI89:AI119" si="39">ROUND(((AH89/AE89-1)*100),1)</f>
        <v>26.4</v>
      </c>
    </row>
    <row r="90" spans="1:35" s="605" customFormat="1" ht="19.5" hidden="1" customHeight="1">
      <c r="A90" s="611" t="s">
        <v>46</v>
      </c>
      <c r="B90" s="608">
        <v>7944</v>
      </c>
      <c r="C90" s="608">
        <v>68135</v>
      </c>
      <c r="D90" s="608">
        <v>9086</v>
      </c>
      <c r="E90" s="608">
        <v>96883</v>
      </c>
      <c r="F90" s="608">
        <v>189</v>
      </c>
      <c r="G90" s="608">
        <v>2101</v>
      </c>
      <c r="H90" s="608">
        <v>67</v>
      </c>
      <c r="I90" s="608">
        <v>1102</v>
      </c>
      <c r="J90" s="608">
        <v>24695</v>
      </c>
      <c r="K90" s="608">
        <v>94955</v>
      </c>
      <c r="L90" s="608">
        <v>28668</v>
      </c>
      <c r="M90" s="608">
        <v>121785</v>
      </c>
      <c r="N90" s="608">
        <v>20683</v>
      </c>
      <c r="O90" s="608">
        <v>41138</v>
      </c>
      <c r="P90" s="608">
        <v>12541</v>
      </c>
      <c r="Q90" s="608">
        <v>27089</v>
      </c>
      <c r="R90" s="608">
        <v>30080</v>
      </c>
      <c r="S90" s="608">
        <v>58866</v>
      </c>
      <c r="T90" s="608">
        <v>15</v>
      </c>
      <c r="U90" s="608">
        <v>233</v>
      </c>
      <c r="V90" s="608">
        <v>3</v>
      </c>
      <c r="W90" s="608">
        <v>553</v>
      </c>
      <c r="X90" s="608">
        <v>2</v>
      </c>
      <c r="Y90" s="608">
        <v>125</v>
      </c>
      <c r="Z90" s="608">
        <v>829</v>
      </c>
      <c r="AA90" s="608">
        <v>9941</v>
      </c>
      <c r="AB90" s="608">
        <v>1051</v>
      </c>
      <c r="AC90" s="608">
        <v>14798</v>
      </c>
      <c r="AD90" s="32">
        <f t="shared" si="35"/>
        <v>84423</v>
      </c>
      <c r="AE90" s="32">
        <f t="shared" si="36"/>
        <v>275689</v>
      </c>
      <c r="AF90" s="32">
        <f t="shared" ref="AF90:AF117" si="40">SUM(D90+H90+L90+P90+T90+X90+AB90)</f>
        <v>51430</v>
      </c>
      <c r="AG90" s="37">
        <f t="shared" si="37"/>
        <v>-39.1</v>
      </c>
      <c r="AH90" s="32">
        <f t="shared" si="38"/>
        <v>262015</v>
      </c>
      <c r="AI90" s="37">
        <f t="shared" si="39"/>
        <v>-5</v>
      </c>
    </row>
    <row r="91" spans="1:35" s="605" customFormat="1" ht="19.5" hidden="1" customHeight="1">
      <c r="A91" s="611" t="s">
        <v>45</v>
      </c>
      <c r="B91" s="608">
        <v>3075</v>
      </c>
      <c r="C91" s="608">
        <v>19361</v>
      </c>
      <c r="D91" s="608">
        <v>3704</v>
      </c>
      <c r="E91" s="608">
        <v>29364</v>
      </c>
      <c r="F91" s="608">
        <v>281</v>
      </c>
      <c r="G91" s="608">
        <v>4035</v>
      </c>
      <c r="H91" s="608">
        <v>229</v>
      </c>
      <c r="I91" s="608">
        <v>3193</v>
      </c>
      <c r="J91" s="608">
        <v>20247</v>
      </c>
      <c r="K91" s="608">
        <v>52882</v>
      </c>
      <c r="L91" s="608">
        <v>20025</v>
      </c>
      <c r="M91" s="608">
        <v>57425</v>
      </c>
      <c r="N91" s="608">
        <v>25622</v>
      </c>
      <c r="O91" s="608">
        <v>52399</v>
      </c>
      <c r="P91" s="608">
        <v>15601</v>
      </c>
      <c r="Q91" s="608">
        <v>34100</v>
      </c>
      <c r="R91" s="608">
        <v>29881</v>
      </c>
      <c r="S91" s="608">
        <v>71232</v>
      </c>
      <c r="T91" s="608">
        <v>25289</v>
      </c>
      <c r="U91" s="608">
        <v>70693</v>
      </c>
      <c r="V91" s="608">
        <v>2</v>
      </c>
      <c r="W91" s="608">
        <v>43</v>
      </c>
      <c r="X91" s="608">
        <v>7</v>
      </c>
      <c r="Y91" s="608">
        <v>196</v>
      </c>
      <c r="Z91" s="608">
        <v>392</v>
      </c>
      <c r="AA91" s="608">
        <v>1651</v>
      </c>
      <c r="AB91" s="608">
        <v>710</v>
      </c>
      <c r="AC91" s="608">
        <v>2538</v>
      </c>
      <c r="AD91" s="32">
        <f t="shared" si="35"/>
        <v>79500</v>
      </c>
      <c r="AE91" s="32">
        <f t="shared" si="36"/>
        <v>201603</v>
      </c>
      <c r="AF91" s="32">
        <f t="shared" si="40"/>
        <v>65565</v>
      </c>
      <c r="AG91" s="37">
        <f t="shared" si="37"/>
        <v>-17.5</v>
      </c>
      <c r="AH91" s="32">
        <f t="shared" si="38"/>
        <v>197509</v>
      </c>
      <c r="AI91" s="37">
        <f t="shared" si="39"/>
        <v>-2</v>
      </c>
    </row>
    <row r="92" spans="1:35" s="605" customFormat="1" ht="19.5" hidden="1" customHeight="1">
      <c r="A92" s="611" t="s">
        <v>48</v>
      </c>
      <c r="B92" s="608">
        <v>7644</v>
      </c>
      <c r="C92" s="608">
        <v>43581</v>
      </c>
      <c r="D92" s="608">
        <v>8433</v>
      </c>
      <c r="E92" s="608">
        <v>66197</v>
      </c>
      <c r="F92" s="608">
        <v>15</v>
      </c>
      <c r="G92" s="608">
        <v>239</v>
      </c>
      <c r="H92" s="608">
        <v>16</v>
      </c>
      <c r="I92" s="608">
        <v>178</v>
      </c>
      <c r="J92" s="608">
        <v>12908</v>
      </c>
      <c r="K92" s="608">
        <v>37769</v>
      </c>
      <c r="L92" s="608">
        <v>11928</v>
      </c>
      <c r="M92" s="608">
        <v>37660</v>
      </c>
      <c r="N92" s="608">
        <v>4771</v>
      </c>
      <c r="O92" s="608">
        <v>9887</v>
      </c>
      <c r="P92" s="608">
        <v>4798</v>
      </c>
      <c r="Q92" s="608">
        <v>10644</v>
      </c>
      <c r="R92" s="608">
        <v>7999</v>
      </c>
      <c r="S92" s="608">
        <v>19596</v>
      </c>
      <c r="T92" s="608">
        <v>9261</v>
      </c>
      <c r="U92" s="608">
        <v>26484</v>
      </c>
      <c r="V92" s="608">
        <v>28</v>
      </c>
      <c r="W92" s="608">
        <v>641</v>
      </c>
      <c r="X92" s="608">
        <v>18</v>
      </c>
      <c r="Y92" s="608">
        <v>545</v>
      </c>
      <c r="Z92" s="608">
        <v>62</v>
      </c>
      <c r="AA92" s="608">
        <v>553</v>
      </c>
      <c r="AB92" s="608">
        <v>42</v>
      </c>
      <c r="AC92" s="608">
        <v>516</v>
      </c>
      <c r="AD92" s="32">
        <f t="shared" si="35"/>
        <v>33427</v>
      </c>
      <c r="AE92" s="32">
        <f t="shared" si="36"/>
        <v>112266</v>
      </c>
      <c r="AF92" s="32">
        <f t="shared" si="40"/>
        <v>34496</v>
      </c>
      <c r="AG92" s="37">
        <f t="shared" si="37"/>
        <v>3.2</v>
      </c>
      <c r="AH92" s="32">
        <f t="shared" si="38"/>
        <v>142224</v>
      </c>
      <c r="AI92" s="37">
        <f t="shared" si="39"/>
        <v>26.7</v>
      </c>
    </row>
    <row r="93" spans="1:35" s="605" customFormat="1" ht="19.5" hidden="1" customHeight="1">
      <c r="A93" s="611" t="s">
        <v>49</v>
      </c>
      <c r="B93" s="608">
        <v>19775</v>
      </c>
      <c r="C93" s="608">
        <v>85974</v>
      </c>
      <c r="D93" s="608">
        <v>18322</v>
      </c>
      <c r="E93" s="608">
        <v>77029</v>
      </c>
      <c r="F93" s="608">
        <v>25</v>
      </c>
      <c r="G93" s="608">
        <v>800</v>
      </c>
      <c r="H93" s="608">
        <v>21</v>
      </c>
      <c r="I93" s="608">
        <v>635</v>
      </c>
      <c r="J93" s="608">
        <v>5443</v>
      </c>
      <c r="K93" s="608">
        <v>18332</v>
      </c>
      <c r="L93" s="608">
        <v>4728</v>
      </c>
      <c r="M93" s="608">
        <v>18812</v>
      </c>
      <c r="N93" s="608">
        <v>1152</v>
      </c>
      <c r="O93" s="608">
        <v>2317</v>
      </c>
      <c r="P93" s="608">
        <v>926</v>
      </c>
      <c r="Q93" s="608">
        <v>2012</v>
      </c>
      <c r="R93" s="608">
        <v>6359</v>
      </c>
      <c r="S93" s="608">
        <v>15263</v>
      </c>
      <c r="T93" s="608">
        <v>5937</v>
      </c>
      <c r="U93" s="608">
        <v>16478</v>
      </c>
      <c r="V93" s="608">
        <v>8</v>
      </c>
      <c r="W93" s="608">
        <v>144</v>
      </c>
      <c r="X93" s="608">
        <v>12</v>
      </c>
      <c r="Y93" s="608">
        <v>259</v>
      </c>
      <c r="Z93" s="608">
        <v>87</v>
      </c>
      <c r="AA93" s="608">
        <v>2949</v>
      </c>
      <c r="AB93" s="608">
        <v>30</v>
      </c>
      <c r="AC93" s="608">
        <v>1280</v>
      </c>
      <c r="AD93" s="32">
        <f t="shared" si="35"/>
        <v>32849</v>
      </c>
      <c r="AE93" s="32">
        <f t="shared" si="36"/>
        <v>125779</v>
      </c>
      <c r="AF93" s="32">
        <f t="shared" si="40"/>
        <v>29976</v>
      </c>
      <c r="AG93" s="37">
        <f t="shared" si="37"/>
        <v>-8.6999999999999993</v>
      </c>
      <c r="AH93" s="32">
        <f t="shared" si="38"/>
        <v>116505</v>
      </c>
      <c r="AI93" s="37">
        <f t="shared" si="39"/>
        <v>-7.4</v>
      </c>
    </row>
    <row r="94" spans="1:35" s="605" customFormat="1" ht="19.5" hidden="1" customHeight="1">
      <c r="A94" s="611" t="s">
        <v>47</v>
      </c>
      <c r="B94" s="608">
        <v>6463</v>
      </c>
      <c r="C94" s="608">
        <v>44598</v>
      </c>
      <c r="D94" s="608">
        <v>5699</v>
      </c>
      <c r="E94" s="608">
        <v>55540</v>
      </c>
      <c r="F94" s="608">
        <v>1383</v>
      </c>
      <c r="G94" s="608">
        <v>9494</v>
      </c>
      <c r="H94" s="608">
        <v>1859</v>
      </c>
      <c r="I94" s="608">
        <v>11463</v>
      </c>
      <c r="J94" s="608">
        <v>18628</v>
      </c>
      <c r="K94" s="608">
        <v>72768</v>
      </c>
      <c r="L94" s="608">
        <v>18789</v>
      </c>
      <c r="M94" s="608">
        <v>85235</v>
      </c>
      <c r="N94" s="608">
        <v>1626</v>
      </c>
      <c r="O94" s="608">
        <v>3342</v>
      </c>
      <c r="P94" s="608">
        <v>1408</v>
      </c>
      <c r="Q94" s="608">
        <v>3124</v>
      </c>
      <c r="R94" s="608">
        <v>442</v>
      </c>
      <c r="S94" s="608">
        <v>1222</v>
      </c>
      <c r="T94" s="608">
        <v>363</v>
      </c>
      <c r="U94" s="608">
        <v>1098</v>
      </c>
      <c r="V94" s="608">
        <v>70</v>
      </c>
      <c r="W94" s="608">
        <v>660</v>
      </c>
      <c r="X94" s="608">
        <v>5</v>
      </c>
      <c r="Y94" s="608">
        <v>414</v>
      </c>
      <c r="Z94" s="608">
        <v>439</v>
      </c>
      <c r="AA94" s="608">
        <v>9810</v>
      </c>
      <c r="AB94" s="608">
        <v>397</v>
      </c>
      <c r="AC94" s="608">
        <v>5040</v>
      </c>
      <c r="AD94" s="32">
        <f t="shared" si="35"/>
        <v>29051</v>
      </c>
      <c r="AE94" s="32">
        <f t="shared" si="36"/>
        <v>141894</v>
      </c>
      <c r="AF94" s="32">
        <f t="shared" si="40"/>
        <v>28520</v>
      </c>
      <c r="AG94" s="37">
        <f t="shared" si="37"/>
        <v>-1.8</v>
      </c>
      <c r="AH94" s="32">
        <f t="shared" si="38"/>
        <v>161914</v>
      </c>
      <c r="AI94" s="37">
        <f t="shared" si="39"/>
        <v>14.1</v>
      </c>
    </row>
    <row r="95" spans="1:35" s="605" customFormat="1" ht="19.5" hidden="1" customHeight="1">
      <c r="A95" s="611" t="s">
        <v>50</v>
      </c>
      <c r="B95" s="608">
        <v>9962</v>
      </c>
      <c r="C95" s="608">
        <v>79884</v>
      </c>
      <c r="D95" s="608">
        <v>4555</v>
      </c>
      <c r="E95" s="608">
        <v>63096</v>
      </c>
      <c r="F95" s="608">
        <v>10</v>
      </c>
      <c r="G95" s="608">
        <v>269</v>
      </c>
      <c r="H95" s="608">
        <v>95</v>
      </c>
      <c r="I95" s="608">
        <v>1913</v>
      </c>
      <c r="J95" s="608">
        <v>3018</v>
      </c>
      <c r="K95" s="608">
        <v>18294</v>
      </c>
      <c r="L95" s="608">
        <v>3683</v>
      </c>
      <c r="M95" s="608">
        <v>18564</v>
      </c>
      <c r="N95" s="608">
        <v>408</v>
      </c>
      <c r="O95" s="608">
        <v>873</v>
      </c>
      <c r="P95" s="608">
        <v>402</v>
      </c>
      <c r="Q95" s="608">
        <v>939</v>
      </c>
      <c r="R95" s="608">
        <v>10564</v>
      </c>
      <c r="S95" s="608">
        <v>22275</v>
      </c>
      <c r="T95" s="608">
        <v>16633</v>
      </c>
      <c r="U95" s="608">
        <v>45821</v>
      </c>
      <c r="V95" s="608">
        <v>29</v>
      </c>
      <c r="W95" s="608">
        <v>2664</v>
      </c>
      <c r="X95" s="608">
        <v>52</v>
      </c>
      <c r="Y95" s="608">
        <v>2158</v>
      </c>
      <c r="Z95" s="608">
        <v>117</v>
      </c>
      <c r="AA95" s="608">
        <v>3136</v>
      </c>
      <c r="AB95" s="608">
        <v>42</v>
      </c>
      <c r="AC95" s="608">
        <v>3538</v>
      </c>
      <c r="AD95" s="32">
        <f t="shared" si="35"/>
        <v>24108</v>
      </c>
      <c r="AE95" s="32">
        <f t="shared" si="36"/>
        <v>127395</v>
      </c>
      <c r="AF95" s="32">
        <f t="shared" si="40"/>
        <v>25462</v>
      </c>
      <c r="AG95" s="37">
        <f t="shared" si="37"/>
        <v>5.6</v>
      </c>
      <c r="AH95" s="32">
        <f t="shared" si="38"/>
        <v>136029</v>
      </c>
      <c r="AI95" s="37">
        <f t="shared" si="39"/>
        <v>6.8</v>
      </c>
    </row>
    <row r="96" spans="1:35" s="605" customFormat="1" ht="19.5" hidden="1" customHeight="1">
      <c r="A96" s="611" t="s">
        <v>51</v>
      </c>
      <c r="B96" s="608">
        <v>3353</v>
      </c>
      <c r="C96" s="608">
        <v>20564</v>
      </c>
      <c r="D96" s="608">
        <v>1855</v>
      </c>
      <c r="E96" s="608">
        <v>14928</v>
      </c>
      <c r="F96" s="608">
        <v>43</v>
      </c>
      <c r="G96" s="608">
        <v>534</v>
      </c>
      <c r="H96" s="608">
        <v>14</v>
      </c>
      <c r="I96" s="608">
        <v>525</v>
      </c>
      <c r="J96" s="608">
        <v>4790</v>
      </c>
      <c r="K96" s="608">
        <v>15588</v>
      </c>
      <c r="L96" s="608">
        <v>7928</v>
      </c>
      <c r="M96" s="608">
        <v>24945</v>
      </c>
      <c r="N96" s="608">
        <v>6314</v>
      </c>
      <c r="O96" s="608">
        <v>12830</v>
      </c>
      <c r="P96" s="608">
        <v>6298</v>
      </c>
      <c r="Q96" s="608">
        <v>13651</v>
      </c>
      <c r="R96" s="608">
        <v>10146</v>
      </c>
      <c r="S96" s="608">
        <v>24258</v>
      </c>
      <c r="T96" s="608">
        <v>9925</v>
      </c>
      <c r="U96" s="608">
        <v>28340</v>
      </c>
      <c r="V96" s="608">
        <v>10</v>
      </c>
      <c r="W96" s="608">
        <v>261</v>
      </c>
      <c r="X96" s="608">
        <v>13</v>
      </c>
      <c r="Y96" s="608">
        <v>250</v>
      </c>
      <c r="Z96" s="608">
        <v>0</v>
      </c>
      <c r="AA96" s="608">
        <v>9</v>
      </c>
      <c r="AB96" s="608">
        <v>2</v>
      </c>
      <c r="AC96" s="608">
        <v>87</v>
      </c>
      <c r="AD96" s="32">
        <f t="shared" si="35"/>
        <v>24656</v>
      </c>
      <c r="AE96" s="32">
        <f t="shared" si="36"/>
        <v>74044</v>
      </c>
      <c r="AF96" s="32">
        <f t="shared" si="40"/>
        <v>26035</v>
      </c>
      <c r="AG96" s="37">
        <f t="shared" si="37"/>
        <v>5.6</v>
      </c>
      <c r="AH96" s="32">
        <f t="shared" si="38"/>
        <v>82726</v>
      </c>
      <c r="AI96" s="37">
        <f t="shared" si="39"/>
        <v>11.7</v>
      </c>
    </row>
    <row r="97" spans="1:35" s="605" customFormat="1" ht="19.5" hidden="1" customHeight="1">
      <c r="A97" s="611" t="s">
        <v>54</v>
      </c>
      <c r="B97" s="608">
        <v>3668</v>
      </c>
      <c r="C97" s="608">
        <v>23924</v>
      </c>
      <c r="D97" s="608">
        <v>3203</v>
      </c>
      <c r="E97" s="608">
        <v>27562</v>
      </c>
      <c r="F97" s="608">
        <v>1</v>
      </c>
      <c r="G97" s="608">
        <v>14</v>
      </c>
      <c r="H97" s="608">
        <v>40</v>
      </c>
      <c r="I97" s="608">
        <v>721</v>
      </c>
      <c r="J97" s="608">
        <v>11985</v>
      </c>
      <c r="K97" s="608">
        <v>32987</v>
      </c>
      <c r="L97" s="608">
        <v>10671</v>
      </c>
      <c r="M97" s="608">
        <v>31098</v>
      </c>
      <c r="N97" s="608">
        <v>751</v>
      </c>
      <c r="O97" s="608">
        <v>3760</v>
      </c>
      <c r="P97" s="608">
        <v>432</v>
      </c>
      <c r="Q97" s="608">
        <v>2637</v>
      </c>
      <c r="R97" s="608">
        <v>1312</v>
      </c>
      <c r="S97" s="608">
        <v>3401</v>
      </c>
      <c r="T97" s="608">
        <v>6144</v>
      </c>
      <c r="U97" s="608">
        <v>18662</v>
      </c>
      <c r="V97" s="608">
        <v>0</v>
      </c>
      <c r="W97" s="608">
        <v>0</v>
      </c>
      <c r="X97" s="608">
        <v>0</v>
      </c>
      <c r="Y97" s="608">
        <v>0</v>
      </c>
      <c r="Z97" s="608">
        <v>6</v>
      </c>
      <c r="AA97" s="608">
        <v>157</v>
      </c>
      <c r="AB97" s="608">
        <v>0</v>
      </c>
      <c r="AC97" s="608">
        <v>13</v>
      </c>
      <c r="AD97" s="32">
        <f t="shared" si="35"/>
        <v>17723</v>
      </c>
      <c r="AE97" s="32">
        <f t="shared" si="36"/>
        <v>64243</v>
      </c>
      <c r="AF97" s="32">
        <f t="shared" si="40"/>
        <v>20490</v>
      </c>
      <c r="AG97" s="37">
        <f t="shared" si="37"/>
        <v>15.6</v>
      </c>
      <c r="AH97" s="32">
        <f t="shared" si="38"/>
        <v>80693</v>
      </c>
      <c r="AI97" s="37">
        <f t="shared" si="39"/>
        <v>25.6</v>
      </c>
    </row>
    <row r="98" spans="1:35" s="605" customFormat="1" ht="19.5" hidden="1" customHeight="1">
      <c r="A98" s="611" t="s">
        <v>58</v>
      </c>
      <c r="B98" s="608">
        <v>590</v>
      </c>
      <c r="C98" s="608">
        <v>3959</v>
      </c>
      <c r="D98" s="608">
        <v>43</v>
      </c>
      <c r="E98" s="608">
        <v>660</v>
      </c>
      <c r="F98" s="608">
        <v>1</v>
      </c>
      <c r="G98" s="608">
        <v>10</v>
      </c>
      <c r="H98" s="608">
        <v>0</v>
      </c>
      <c r="I98" s="608">
        <v>14</v>
      </c>
      <c r="J98" s="608">
        <v>12825</v>
      </c>
      <c r="K98" s="608">
        <v>35498</v>
      </c>
      <c r="L98" s="608">
        <v>10715</v>
      </c>
      <c r="M98" s="608">
        <v>37679</v>
      </c>
      <c r="N98" s="608">
        <v>0</v>
      </c>
      <c r="O98" s="608">
        <v>0</v>
      </c>
      <c r="P98" s="608">
        <v>0</v>
      </c>
      <c r="Q98" s="608">
        <v>0</v>
      </c>
      <c r="R98" s="608">
        <v>9</v>
      </c>
      <c r="S98" s="608">
        <v>104</v>
      </c>
      <c r="T98" s="608">
        <v>18</v>
      </c>
      <c r="U98" s="608">
        <v>245</v>
      </c>
      <c r="V98" s="608">
        <v>1</v>
      </c>
      <c r="W98" s="608">
        <v>35</v>
      </c>
      <c r="X98" s="608">
        <v>0</v>
      </c>
      <c r="Y98" s="608">
        <v>1</v>
      </c>
      <c r="Z98" s="608">
        <v>0</v>
      </c>
      <c r="AA98" s="608">
        <v>28</v>
      </c>
      <c r="AB98" s="608">
        <v>0</v>
      </c>
      <c r="AC98" s="608">
        <v>36</v>
      </c>
      <c r="AD98" s="32">
        <f t="shared" si="35"/>
        <v>13426</v>
      </c>
      <c r="AE98" s="32">
        <f t="shared" si="36"/>
        <v>39634</v>
      </c>
      <c r="AF98" s="32">
        <f t="shared" si="40"/>
        <v>10776</v>
      </c>
      <c r="AG98" s="37">
        <f t="shared" si="37"/>
        <v>-19.7</v>
      </c>
      <c r="AH98" s="32">
        <f t="shared" si="38"/>
        <v>38635</v>
      </c>
      <c r="AI98" s="37">
        <f t="shared" si="39"/>
        <v>-2.5</v>
      </c>
    </row>
    <row r="99" spans="1:35" s="605" customFormat="1" ht="19.5" hidden="1" customHeight="1">
      <c r="A99" s="611" t="s">
        <v>52</v>
      </c>
      <c r="B99" s="608">
        <v>11023</v>
      </c>
      <c r="C99" s="608">
        <v>66118</v>
      </c>
      <c r="D99" s="608">
        <v>10136</v>
      </c>
      <c r="E99" s="608">
        <v>82598</v>
      </c>
      <c r="F99" s="608">
        <v>38</v>
      </c>
      <c r="G99" s="608">
        <v>1099</v>
      </c>
      <c r="H99" s="608">
        <v>48</v>
      </c>
      <c r="I99" s="608">
        <v>1959</v>
      </c>
      <c r="J99" s="608">
        <v>3052</v>
      </c>
      <c r="K99" s="608">
        <v>14039</v>
      </c>
      <c r="L99" s="608">
        <v>1976</v>
      </c>
      <c r="M99" s="608">
        <v>7634</v>
      </c>
      <c r="N99" s="608">
        <v>5</v>
      </c>
      <c r="O99" s="608">
        <v>132</v>
      </c>
      <c r="P99" s="608">
        <v>173</v>
      </c>
      <c r="Q99" s="608">
        <v>355</v>
      </c>
      <c r="R99" s="608">
        <v>823</v>
      </c>
      <c r="S99" s="608">
        <v>2020</v>
      </c>
      <c r="T99" s="608">
        <v>1486</v>
      </c>
      <c r="U99" s="608">
        <v>4364</v>
      </c>
      <c r="V99" s="608">
        <v>37</v>
      </c>
      <c r="W99" s="608">
        <v>1216</v>
      </c>
      <c r="X99" s="608">
        <v>85</v>
      </c>
      <c r="Y99" s="608">
        <v>3476</v>
      </c>
      <c r="Z99" s="608">
        <v>0</v>
      </c>
      <c r="AA99" s="608">
        <v>104</v>
      </c>
      <c r="AB99" s="608">
        <v>28</v>
      </c>
      <c r="AC99" s="608">
        <v>49</v>
      </c>
      <c r="AD99" s="32">
        <f t="shared" si="35"/>
        <v>14978</v>
      </c>
      <c r="AE99" s="32">
        <f t="shared" si="36"/>
        <v>84728</v>
      </c>
      <c r="AF99" s="32">
        <f t="shared" si="40"/>
        <v>13932</v>
      </c>
      <c r="AG99" s="37">
        <f t="shared" si="37"/>
        <v>-7</v>
      </c>
      <c r="AH99" s="32">
        <f t="shared" si="38"/>
        <v>100435</v>
      </c>
      <c r="AI99" s="37">
        <f t="shared" si="39"/>
        <v>18.5</v>
      </c>
    </row>
    <row r="100" spans="1:35" s="605" customFormat="1" ht="19.5" hidden="1" customHeight="1">
      <c r="A100" s="611" t="s">
        <v>56</v>
      </c>
      <c r="B100" s="608">
        <v>517</v>
      </c>
      <c r="C100" s="608">
        <v>3936</v>
      </c>
      <c r="D100" s="608">
        <v>392</v>
      </c>
      <c r="E100" s="608">
        <v>3559</v>
      </c>
      <c r="F100" s="608">
        <v>3</v>
      </c>
      <c r="G100" s="608">
        <v>140</v>
      </c>
      <c r="H100" s="608">
        <v>4</v>
      </c>
      <c r="I100" s="608">
        <v>132</v>
      </c>
      <c r="J100" s="608">
        <v>7373</v>
      </c>
      <c r="K100" s="608">
        <v>17344</v>
      </c>
      <c r="L100" s="608">
        <v>1775</v>
      </c>
      <c r="M100" s="608">
        <v>5914</v>
      </c>
      <c r="N100" s="608">
        <v>16</v>
      </c>
      <c r="O100" s="608">
        <v>32</v>
      </c>
      <c r="P100" s="608">
        <v>0</v>
      </c>
      <c r="Q100" s="608">
        <v>0</v>
      </c>
      <c r="R100" s="608">
        <v>4143</v>
      </c>
      <c r="S100" s="608">
        <v>9711</v>
      </c>
      <c r="T100" s="608">
        <v>2869</v>
      </c>
      <c r="U100" s="608">
        <v>8156</v>
      </c>
      <c r="V100" s="608">
        <v>0</v>
      </c>
      <c r="W100" s="608">
        <v>0</v>
      </c>
      <c r="X100" s="608">
        <v>0</v>
      </c>
      <c r="Y100" s="608">
        <v>1</v>
      </c>
      <c r="Z100" s="608">
        <v>0</v>
      </c>
      <c r="AA100" s="608">
        <v>5</v>
      </c>
      <c r="AB100" s="608">
        <v>0</v>
      </c>
      <c r="AC100" s="608">
        <v>2</v>
      </c>
      <c r="AD100" s="32">
        <f t="shared" si="35"/>
        <v>12052</v>
      </c>
      <c r="AE100" s="32">
        <f t="shared" si="36"/>
        <v>31168</v>
      </c>
      <c r="AF100" s="32">
        <f t="shared" si="40"/>
        <v>5040</v>
      </c>
      <c r="AG100" s="37">
        <f t="shared" si="37"/>
        <v>-58.2</v>
      </c>
      <c r="AH100" s="32">
        <f t="shared" si="38"/>
        <v>17764</v>
      </c>
      <c r="AI100" s="37">
        <f t="shared" si="39"/>
        <v>-43</v>
      </c>
    </row>
    <row r="101" spans="1:35" s="605" customFormat="1" ht="19.5" hidden="1" customHeight="1">
      <c r="A101" s="611" t="s">
        <v>53</v>
      </c>
      <c r="B101" s="608">
        <v>3922</v>
      </c>
      <c r="C101" s="608">
        <v>19664</v>
      </c>
      <c r="D101" s="608">
        <v>3729</v>
      </c>
      <c r="E101" s="608">
        <v>28881</v>
      </c>
      <c r="F101" s="608">
        <v>2</v>
      </c>
      <c r="G101" s="608">
        <v>144</v>
      </c>
      <c r="H101" s="608">
        <v>2</v>
      </c>
      <c r="I101" s="608">
        <v>214</v>
      </c>
      <c r="J101" s="608">
        <v>911</v>
      </c>
      <c r="K101" s="608">
        <v>5647</v>
      </c>
      <c r="L101" s="608">
        <v>1598</v>
      </c>
      <c r="M101" s="608">
        <v>8397</v>
      </c>
      <c r="N101" s="608">
        <v>35</v>
      </c>
      <c r="O101" s="608">
        <v>96</v>
      </c>
      <c r="P101" s="608">
        <v>5</v>
      </c>
      <c r="Q101" s="608">
        <v>21</v>
      </c>
      <c r="R101" s="608">
        <v>5680</v>
      </c>
      <c r="S101" s="608">
        <v>12857</v>
      </c>
      <c r="T101" s="608">
        <v>8094</v>
      </c>
      <c r="U101" s="608">
        <v>23498</v>
      </c>
      <c r="V101" s="608">
        <v>0</v>
      </c>
      <c r="W101" s="608">
        <v>0</v>
      </c>
      <c r="X101" s="608">
        <v>1</v>
      </c>
      <c r="Y101" s="608">
        <v>62</v>
      </c>
      <c r="Z101" s="608">
        <v>369</v>
      </c>
      <c r="AA101" s="608">
        <v>1581</v>
      </c>
      <c r="AB101" s="608">
        <v>128</v>
      </c>
      <c r="AC101" s="608">
        <v>1013</v>
      </c>
      <c r="AD101" s="32">
        <f t="shared" si="35"/>
        <v>10919</v>
      </c>
      <c r="AE101" s="32">
        <f t="shared" si="36"/>
        <v>39989</v>
      </c>
      <c r="AF101" s="32">
        <f t="shared" si="40"/>
        <v>13557</v>
      </c>
      <c r="AG101" s="37">
        <f t="shared" si="37"/>
        <v>24.2</v>
      </c>
      <c r="AH101" s="32">
        <f t="shared" si="38"/>
        <v>62086</v>
      </c>
      <c r="AI101" s="37">
        <f t="shared" si="39"/>
        <v>55.3</v>
      </c>
    </row>
    <row r="102" spans="1:35" s="605" customFormat="1" ht="19.5" hidden="1" customHeight="1">
      <c r="A102" s="611" t="s">
        <v>57</v>
      </c>
      <c r="B102" s="608">
        <v>590</v>
      </c>
      <c r="C102" s="608">
        <v>4415</v>
      </c>
      <c r="D102" s="608">
        <v>329</v>
      </c>
      <c r="E102" s="608">
        <v>3289</v>
      </c>
      <c r="F102" s="608">
        <v>10</v>
      </c>
      <c r="G102" s="608">
        <v>896</v>
      </c>
      <c r="H102" s="608">
        <v>5</v>
      </c>
      <c r="I102" s="608">
        <v>223</v>
      </c>
      <c r="J102" s="608">
        <v>2624</v>
      </c>
      <c r="K102" s="608">
        <v>7277</v>
      </c>
      <c r="L102" s="608">
        <v>4747</v>
      </c>
      <c r="M102" s="608">
        <v>14335</v>
      </c>
      <c r="N102" s="608">
        <v>0</v>
      </c>
      <c r="O102" s="608">
        <v>0</v>
      </c>
      <c r="P102" s="608">
        <v>0</v>
      </c>
      <c r="Q102" s="608">
        <v>0</v>
      </c>
      <c r="R102" s="608">
        <v>3032</v>
      </c>
      <c r="S102" s="608">
        <v>7083</v>
      </c>
      <c r="T102" s="608">
        <v>3045</v>
      </c>
      <c r="U102" s="608">
        <v>8596</v>
      </c>
      <c r="V102" s="608">
        <v>69</v>
      </c>
      <c r="W102" s="608">
        <v>398</v>
      </c>
      <c r="X102" s="608">
        <v>96</v>
      </c>
      <c r="Y102" s="608">
        <v>637</v>
      </c>
      <c r="Z102" s="608">
        <v>0</v>
      </c>
      <c r="AA102" s="608">
        <v>28</v>
      </c>
      <c r="AB102" s="608">
        <v>0</v>
      </c>
      <c r="AC102" s="608">
        <v>5</v>
      </c>
      <c r="AD102" s="32">
        <f t="shared" si="35"/>
        <v>6325</v>
      </c>
      <c r="AE102" s="32">
        <f t="shared" si="36"/>
        <v>20097</v>
      </c>
      <c r="AF102" s="32">
        <f t="shared" si="40"/>
        <v>8222</v>
      </c>
      <c r="AG102" s="37">
        <f t="shared" si="37"/>
        <v>30</v>
      </c>
      <c r="AH102" s="32">
        <f t="shared" si="38"/>
        <v>27085</v>
      </c>
      <c r="AI102" s="37">
        <f t="shared" si="39"/>
        <v>34.799999999999997</v>
      </c>
    </row>
    <row r="103" spans="1:35" s="605" customFormat="1" ht="19.5" hidden="1" customHeight="1">
      <c r="A103" s="611" t="s">
        <v>70</v>
      </c>
      <c r="B103" s="608">
        <v>541</v>
      </c>
      <c r="C103" s="608">
        <v>5338</v>
      </c>
      <c r="D103" s="608">
        <v>108</v>
      </c>
      <c r="E103" s="608">
        <v>1187</v>
      </c>
      <c r="F103" s="608">
        <v>0</v>
      </c>
      <c r="G103" s="608">
        <v>21</v>
      </c>
      <c r="H103" s="608">
        <v>0</v>
      </c>
      <c r="I103" s="608">
        <v>9</v>
      </c>
      <c r="J103" s="608">
        <v>6685</v>
      </c>
      <c r="K103" s="608">
        <v>15340</v>
      </c>
      <c r="L103" s="608">
        <v>7408</v>
      </c>
      <c r="M103" s="608">
        <v>19427</v>
      </c>
      <c r="N103" s="608">
        <v>0</v>
      </c>
      <c r="O103" s="608">
        <v>0</v>
      </c>
      <c r="P103" s="608">
        <v>0</v>
      </c>
      <c r="Q103" s="608">
        <v>0</v>
      </c>
      <c r="R103" s="608">
        <v>0</v>
      </c>
      <c r="S103" s="608">
        <v>7</v>
      </c>
      <c r="T103" s="608">
        <v>0</v>
      </c>
      <c r="U103" s="608">
        <v>1</v>
      </c>
      <c r="V103" s="608">
        <v>0</v>
      </c>
      <c r="W103" s="608">
        <v>0</v>
      </c>
      <c r="X103" s="608">
        <v>0</v>
      </c>
      <c r="Y103" s="608">
        <v>0</v>
      </c>
      <c r="Z103" s="608">
        <v>1</v>
      </c>
      <c r="AA103" s="608">
        <v>7</v>
      </c>
      <c r="AB103" s="608">
        <v>1</v>
      </c>
      <c r="AC103" s="608">
        <v>8</v>
      </c>
      <c r="AD103" s="32">
        <f t="shared" si="35"/>
        <v>7227</v>
      </c>
      <c r="AE103" s="32">
        <f t="shared" si="36"/>
        <v>20713</v>
      </c>
      <c r="AF103" s="32">
        <f t="shared" si="40"/>
        <v>7517</v>
      </c>
      <c r="AG103" s="37">
        <f t="shared" si="37"/>
        <v>4</v>
      </c>
      <c r="AH103" s="32">
        <f t="shared" si="38"/>
        <v>20632</v>
      </c>
      <c r="AI103" s="37">
        <f t="shared" si="39"/>
        <v>-0.4</v>
      </c>
    </row>
    <row r="104" spans="1:35" s="605" customFormat="1" ht="19.5" hidden="1" customHeight="1">
      <c r="A104" s="611" t="s">
        <v>68</v>
      </c>
      <c r="B104" s="608">
        <v>629</v>
      </c>
      <c r="C104" s="608">
        <v>4510</v>
      </c>
      <c r="D104" s="608">
        <v>558</v>
      </c>
      <c r="E104" s="608">
        <v>5484</v>
      </c>
      <c r="F104" s="608">
        <v>0</v>
      </c>
      <c r="G104" s="608">
        <v>9</v>
      </c>
      <c r="H104" s="608">
        <v>0</v>
      </c>
      <c r="I104" s="608">
        <v>10</v>
      </c>
      <c r="J104" s="608">
        <v>6531</v>
      </c>
      <c r="K104" s="608">
        <v>16258</v>
      </c>
      <c r="L104" s="608">
        <v>4986</v>
      </c>
      <c r="M104" s="608">
        <v>14500</v>
      </c>
      <c r="N104" s="608">
        <v>0</v>
      </c>
      <c r="O104" s="608">
        <v>0</v>
      </c>
      <c r="P104" s="608">
        <v>0</v>
      </c>
      <c r="Q104" s="608">
        <v>0</v>
      </c>
      <c r="R104" s="608">
        <v>0</v>
      </c>
      <c r="S104" s="608">
        <v>1</v>
      </c>
      <c r="T104" s="608">
        <v>26</v>
      </c>
      <c r="U104" s="608">
        <v>73</v>
      </c>
      <c r="V104" s="608">
        <v>1</v>
      </c>
      <c r="W104" s="608">
        <v>16</v>
      </c>
      <c r="X104" s="608">
        <v>0</v>
      </c>
      <c r="Y104" s="608">
        <v>0</v>
      </c>
      <c r="Z104" s="608">
        <v>15</v>
      </c>
      <c r="AA104" s="608">
        <v>103</v>
      </c>
      <c r="AB104" s="608">
        <v>36</v>
      </c>
      <c r="AC104" s="608">
        <v>38</v>
      </c>
      <c r="AD104" s="32">
        <f t="shared" si="35"/>
        <v>7176</v>
      </c>
      <c r="AE104" s="32">
        <f t="shared" si="36"/>
        <v>20897</v>
      </c>
      <c r="AF104" s="32">
        <f t="shared" si="40"/>
        <v>5606</v>
      </c>
      <c r="AG104" s="37">
        <f t="shared" si="37"/>
        <v>-21.9</v>
      </c>
      <c r="AH104" s="32">
        <f t="shared" si="38"/>
        <v>20105</v>
      </c>
      <c r="AI104" s="37">
        <f t="shared" si="39"/>
        <v>-3.8</v>
      </c>
    </row>
    <row r="105" spans="1:35" s="605" customFormat="1" ht="19.5" hidden="1" customHeight="1">
      <c r="A105" s="611" t="s">
        <v>60</v>
      </c>
      <c r="B105" s="608">
        <v>63</v>
      </c>
      <c r="C105" s="608">
        <v>59</v>
      </c>
      <c r="D105" s="608">
        <v>106</v>
      </c>
      <c r="E105" s="608">
        <v>176</v>
      </c>
      <c r="F105" s="608">
        <v>0</v>
      </c>
      <c r="G105" s="608">
        <v>1</v>
      </c>
      <c r="H105" s="608">
        <v>0</v>
      </c>
      <c r="I105" s="608">
        <v>0</v>
      </c>
      <c r="J105" s="608">
        <v>3560</v>
      </c>
      <c r="K105" s="608">
        <v>8485</v>
      </c>
      <c r="L105" s="608">
        <v>1975</v>
      </c>
      <c r="M105" s="608">
        <v>5915</v>
      </c>
      <c r="N105" s="608">
        <v>0</v>
      </c>
      <c r="O105" s="608">
        <v>0</v>
      </c>
      <c r="P105" s="608">
        <v>0</v>
      </c>
      <c r="Q105" s="608">
        <v>0</v>
      </c>
      <c r="R105" s="608">
        <v>0</v>
      </c>
      <c r="S105" s="608">
        <v>0</v>
      </c>
      <c r="T105" s="608">
        <v>300</v>
      </c>
      <c r="U105" s="608">
        <v>942</v>
      </c>
      <c r="V105" s="608">
        <v>0</v>
      </c>
      <c r="W105" s="608">
        <v>0</v>
      </c>
      <c r="X105" s="608">
        <v>0</v>
      </c>
      <c r="Y105" s="608">
        <v>0</v>
      </c>
      <c r="Z105" s="608">
        <v>0</v>
      </c>
      <c r="AA105" s="608">
        <v>0</v>
      </c>
      <c r="AB105" s="608">
        <v>0</v>
      </c>
      <c r="AC105" s="608">
        <v>0</v>
      </c>
      <c r="AD105" s="32">
        <f t="shared" si="35"/>
        <v>3623</v>
      </c>
      <c r="AE105" s="32">
        <f t="shared" si="36"/>
        <v>8545</v>
      </c>
      <c r="AF105" s="32">
        <f t="shared" si="40"/>
        <v>2381</v>
      </c>
      <c r="AG105" s="37">
        <f t="shared" si="37"/>
        <v>-34.299999999999997</v>
      </c>
      <c r="AH105" s="32">
        <f t="shared" si="38"/>
        <v>7033</v>
      </c>
      <c r="AI105" s="37">
        <f t="shared" si="39"/>
        <v>-17.7</v>
      </c>
    </row>
    <row r="106" spans="1:35" s="605" customFormat="1" ht="19.5" hidden="1" customHeight="1">
      <c r="A106" s="611" t="s">
        <v>55</v>
      </c>
      <c r="B106" s="608">
        <v>763</v>
      </c>
      <c r="C106" s="608">
        <v>4580</v>
      </c>
      <c r="D106" s="608">
        <v>601</v>
      </c>
      <c r="E106" s="608">
        <v>5192</v>
      </c>
      <c r="F106" s="608">
        <v>0</v>
      </c>
      <c r="G106" s="608">
        <v>0</v>
      </c>
      <c r="H106" s="608">
        <v>0</v>
      </c>
      <c r="I106" s="608">
        <v>0</v>
      </c>
      <c r="J106" s="608">
        <v>1202</v>
      </c>
      <c r="K106" s="608">
        <v>5125</v>
      </c>
      <c r="L106" s="608">
        <v>946</v>
      </c>
      <c r="M106" s="608">
        <v>4725</v>
      </c>
      <c r="N106" s="608">
        <v>1713</v>
      </c>
      <c r="O106" s="608">
        <v>3347</v>
      </c>
      <c r="P106" s="608">
        <v>669</v>
      </c>
      <c r="Q106" s="608">
        <v>1506</v>
      </c>
      <c r="R106" s="608">
        <v>3683</v>
      </c>
      <c r="S106" s="608">
        <v>9122</v>
      </c>
      <c r="T106" s="608">
        <v>2222</v>
      </c>
      <c r="U106" s="608">
        <v>6279</v>
      </c>
      <c r="V106" s="608">
        <v>0</v>
      </c>
      <c r="W106" s="608">
        <v>0</v>
      </c>
      <c r="X106" s="608">
        <v>0</v>
      </c>
      <c r="Y106" s="608">
        <v>0</v>
      </c>
      <c r="Z106" s="608">
        <v>0</v>
      </c>
      <c r="AA106" s="608">
        <v>0</v>
      </c>
      <c r="AB106" s="608">
        <v>1</v>
      </c>
      <c r="AC106" s="608">
        <v>27</v>
      </c>
      <c r="AD106" s="32">
        <f t="shared" si="35"/>
        <v>7361</v>
      </c>
      <c r="AE106" s="32">
        <f t="shared" si="36"/>
        <v>22174</v>
      </c>
      <c r="AF106" s="32">
        <f t="shared" si="40"/>
        <v>4439</v>
      </c>
      <c r="AG106" s="37">
        <f t="shared" si="37"/>
        <v>-39.700000000000003</v>
      </c>
      <c r="AH106" s="32">
        <f t="shared" si="38"/>
        <v>17729</v>
      </c>
      <c r="AI106" s="37">
        <f t="shared" si="39"/>
        <v>-20</v>
      </c>
    </row>
    <row r="107" spans="1:35" s="605" customFormat="1" ht="19.5" hidden="1" customHeight="1">
      <c r="A107" s="611" t="s">
        <v>421</v>
      </c>
      <c r="B107" s="608">
        <v>1480</v>
      </c>
      <c r="C107" s="608">
        <v>20510</v>
      </c>
      <c r="D107" s="608">
        <v>3376</v>
      </c>
      <c r="E107" s="608">
        <v>49667</v>
      </c>
      <c r="F107" s="608">
        <v>11</v>
      </c>
      <c r="G107" s="608">
        <v>738</v>
      </c>
      <c r="H107" s="608">
        <v>20</v>
      </c>
      <c r="I107" s="608">
        <v>1179</v>
      </c>
      <c r="J107" s="608">
        <v>1805</v>
      </c>
      <c r="K107" s="608">
        <v>13834</v>
      </c>
      <c r="L107" s="608">
        <v>3967</v>
      </c>
      <c r="M107" s="608">
        <v>26980</v>
      </c>
      <c r="N107" s="608">
        <v>3</v>
      </c>
      <c r="O107" s="608">
        <v>12</v>
      </c>
      <c r="P107" s="608">
        <v>4</v>
      </c>
      <c r="Q107" s="608">
        <v>17</v>
      </c>
      <c r="R107" s="608">
        <v>2</v>
      </c>
      <c r="S107" s="608">
        <v>74</v>
      </c>
      <c r="T107" s="608">
        <v>23</v>
      </c>
      <c r="U107" s="608">
        <v>150</v>
      </c>
      <c r="V107" s="608">
        <v>1</v>
      </c>
      <c r="W107" s="608">
        <v>28</v>
      </c>
      <c r="X107" s="608">
        <v>1</v>
      </c>
      <c r="Y107" s="608">
        <v>41</v>
      </c>
      <c r="Z107" s="608">
        <v>0</v>
      </c>
      <c r="AA107" s="608">
        <v>5</v>
      </c>
      <c r="AB107" s="608">
        <v>0</v>
      </c>
      <c r="AC107" s="608">
        <v>46</v>
      </c>
      <c r="AD107" s="32">
        <f t="shared" si="35"/>
        <v>3302</v>
      </c>
      <c r="AE107" s="32">
        <f t="shared" si="36"/>
        <v>35201</v>
      </c>
      <c r="AF107" s="32">
        <f t="shared" si="40"/>
        <v>7391</v>
      </c>
      <c r="AG107" s="37">
        <f t="shared" si="37"/>
        <v>123.8</v>
      </c>
      <c r="AH107" s="32">
        <f t="shared" si="38"/>
        <v>78080</v>
      </c>
      <c r="AI107" s="37">
        <f t="shared" si="39"/>
        <v>121.8</v>
      </c>
    </row>
    <row r="108" spans="1:35" s="605" customFormat="1" ht="19.5" hidden="1" customHeight="1">
      <c r="A108" s="611" t="s">
        <v>422</v>
      </c>
      <c r="B108" s="608">
        <v>867</v>
      </c>
      <c r="C108" s="608">
        <v>9497</v>
      </c>
      <c r="D108" s="608">
        <v>1916</v>
      </c>
      <c r="E108" s="608">
        <v>24473</v>
      </c>
      <c r="F108" s="608">
        <v>1</v>
      </c>
      <c r="G108" s="608">
        <v>0</v>
      </c>
      <c r="H108" s="608">
        <v>0</v>
      </c>
      <c r="I108" s="608">
        <v>0</v>
      </c>
      <c r="J108" s="608">
        <v>1517</v>
      </c>
      <c r="K108" s="608">
        <v>7087</v>
      </c>
      <c r="L108" s="608">
        <v>2971</v>
      </c>
      <c r="M108" s="608">
        <v>15032</v>
      </c>
      <c r="N108" s="608">
        <v>0</v>
      </c>
      <c r="O108" s="608">
        <v>0</v>
      </c>
      <c r="P108" s="608">
        <v>0</v>
      </c>
      <c r="Q108" s="608">
        <v>0</v>
      </c>
      <c r="R108" s="608">
        <v>0</v>
      </c>
      <c r="S108" s="608">
        <v>0</v>
      </c>
      <c r="T108" s="608">
        <v>0</v>
      </c>
      <c r="U108" s="608">
        <v>0</v>
      </c>
      <c r="V108" s="608">
        <v>0</v>
      </c>
      <c r="W108" s="608">
        <v>1</v>
      </c>
      <c r="X108" s="608">
        <v>0</v>
      </c>
      <c r="Y108" s="608">
        <v>0</v>
      </c>
      <c r="Z108" s="608">
        <v>0</v>
      </c>
      <c r="AA108" s="608">
        <v>29</v>
      </c>
      <c r="AB108" s="608">
        <v>0</v>
      </c>
      <c r="AC108" s="608">
        <v>6</v>
      </c>
      <c r="AD108" s="32">
        <f t="shared" si="35"/>
        <v>2385</v>
      </c>
      <c r="AE108" s="32">
        <f t="shared" si="36"/>
        <v>16614</v>
      </c>
      <c r="AF108" s="32">
        <f t="shared" si="40"/>
        <v>4887</v>
      </c>
      <c r="AG108" s="37">
        <f t="shared" si="37"/>
        <v>104.9</v>
      </c>
      <c r="AH108" s="32">
        <f t="shared" si="38"/>
        <v>39511</v>
      </c>
      <c r="AI108" s="37">
        <f t="shared" si="39"/>
        <v>137.80000000000001</v>
      </c>
    </row>
    <row r="109" spans="1:35" s="605" customFormat="1" ht="19.5" hidden="1" customHeight="1">
      <c r="A109" s="611" t="s">
        <v>63</v>
      </c>
      <c r="B109" s="608">
        <v>80</v>
      </c>
      <c r="C109" s="608">
        <v>406</v>
      </c>
      <c r="D109" s="608">
        <v>52</v>
      </c>
      <c r="E109" s="608">
        <v>491</v>
      </c>
      <c r="F109" s="608">
        <v>6</v>
      </c>
      <c r="G109" s="608">
        <v>82</v>
      </c>
      <c r="H109" s="608">
        <v>0</v>
      </c>
      <c r="I109" s="608">
        <v>0</v>
      </c>
      <c r="J109" s="608">
        <v>2550</v>
      </c>
      <c r="K109" s="608">
        <v>5754</v>
      </c>
      <c r="L109" s="608">
        <v>1941</v>
      </c>
      <c r="M109" s="608">
        <v>5317</v>
      </c>
      <c r="N109" s="608">
        <v>0</v>
      </c>
      <c r="O109" s="608">
        <v>0</v>
      </c>
      <c r="P109" s="608">
        <v>0</v>
      </c>
      <c r="Q109" s="608">
        <v>0</v>
      </c>
      <c r="R109" s="608">
        <v>1163</v>
      </c>
      <c r="S109" s="608">
        <v>2867</v>
      </c>
      <c r="T109" s="608">
        <v>4613</v>
      </c>
      <c r="U109" s="608">
        <v>12987</v>
      </c>
      <c r="V109" s="608">
        <v>0</v>
      </c>
      <c r="W109" s="608">
        <v>0</v>
      </c>
      <c r="X109" s="608">
        <v>0</v>
      </c>
      <c r="Y109" s="608">
        <v>0</v>
      </c>
      <c r="Z109" s="608">
        <v>0</v>
      </c>
      <c r="AA109" s="608">
        <v>0</v>
      </c>
      <c r="AB109" s="608">
        <v>0</v>
      </c>
      <c r="AC109" s="608">
        <v>1</v>
      </c>
      <c r="AD109" s="32">
        <f t="shared" si="35"/>
        <v>3799</v>
      </c>
      <c r="AE109" s="32">
        <f t="shared" si="36"/>
        <v>9109</v>
      </c>
      <c r="AF109" s="32">
        <f t="shared" si="40"/>
        <v>6606</v>
      </c>
      <c r="AG109" s="37">
        <f t="shared" si="37"/>
        <v>73.900000000000006</v>
      </c>
      <c r="AH109" s="32">
        <f t="shared" si="38"/>
        <v>18796</v>
      </c>
      <c r="AI109" s="37">
        <f t="shared" si="39"/>
        <v>106.3</v>
      </c>
    </row>
    <row r="110" spans="1:35" s="605" customFormat="1" ht="19.5" hidden="1" customHeight="1">
      <c r="A110" s="611" t="s">
        <v>67</v>
      </c>
      <c r="B110" s="608">
        <v>408</v>
      </c>
      <c r="C110" s="608">
        <v>3230</v>
      </c>
      <c r="D110" s="608">
        <v>358</v>
      </c>
      <c r="E110" s="608">
        <v>3618</v>
      </c>
      <c r="F110" s="608">
        <v>0</v>
      </c>
      <c r="G110" s="608">
        <v>21</v>
      </c>
      <c r="H110" s="608">
        <v>0</v>
      </c>
      <c r="I110" s="608">
        <v>21</v>
      </c>
      <c r="J110" s="608">
        <v>2040</v>
      </c>
      <c r="K110" s="608">
        <v>5224</v>
      </c>
      <c r="L110" s="608">
        <v>1344</v>
      </c>
      <c r="M110" s="608">
        <v>4645</v>
      </c>
      <c r="N110" s="608">
        <v>0</v>
      </c>
      <c r="O110" s="608">
        <v>0</v>
      </c>
      <c r="P110" s="608">
        <v>0</v>
      </c>
      <c r="Q110" s="608">
        <v>0</v>
      </c>
      <c r="R110" s="608">
        <v>0</v>
      </c>
      <c r="S110" s="608">
        <v>0</v>
      </c>
      <c r="T110" s="608">
        <v>1</v>
      </c>
      <c r="U110" s="608">
        <v>2</v>
      </c>
      <c r="V110" s="608">
        <v>0</v>
      </c>
      <c r="W110" s="608">
        <v>0</v>
      </c>
      <c r="X110" s="608">
        <v>0</v>
      </c>
      <c r="Y110" s="608">
        <v>0</v>
      </c>
      <c r="Z110" s="608">
        <v>738</v>
      </c>
      <c r="AA110" s="608">
        <v>1826</v>
      </c>
      <c r="AB110" s="608">
        <v>64</v>
      </c>
      <c r="AC110" s="608">
        <v>160</v>
      </c>
      <c r="AD110" s="32">
        <f t="shared" si="35"/>
        <v>3186</v>
      </c>
      <c r="AE110" s="32">
        <f t="shared" si="36"/>
        <v>10301</v>
      </c>
      <c r="AF110" s="32">
        <f t="shared" si="40"/>
        <v>1767</v>
      </c>
      <c r="AG110" s="37">
        <f t="shared" si="37"/>
        <v>-44.5</v>
      </c>
      <c r="AH110" s="32">
        <f t="shared" si="38"/>
        <v>8446</v>
      </c>
      <c r="AI110" s="37">
        <f t="shared" si="39"/>
        <v>-18</v>
      </c>
    </row>
    <row r="111" spans="1:35" s="605" customFormat="1" ht="19.5" hidden="1" customHeight="1">
      <c r="A111" s="611" t="s">
        <v>77</v>
      </c>
      <c r="B111" s="608">
        <v>42</v>
      </c>
      <c r="C111" s="608">
        <v>210</v>
      </c>
      <c r="D111" s="608">
        <v>1021</v>
      </c>
      <c r="E111" s="608">
        <v>8014</v>
      </c>
      <c r="F111" s="608">
        <v>0</v>
      </c>
      <c r="G111" s="608">
        <v>0</v>
      </c>
      <c r="H111" s="608">
        <v>0</v>
      </c>
      <c r="I111" s="608">
        <v>0</v>
      </c>
      <c r="J111" s="608">
        <v>734</v>
      </c>
      <c r="K111" s="608">
        <v>2095</v>
      </c>
      <c r="L111" s="608">
        <v>4298</v>
      </c>
      <c r="M111" s="608">
        <v>13507</v>
      </c>
      <c r="N111" s="608">
        <v>0</v>
      </c>
      <c r="O111" s="608">
        <v>0</v>
      </c>
      <c r="P111" s="608">
        <v>0</v>
      </c>
      <c r="Q111" s="608">
        <v>0</v>
      </c>
      <c r="R111" s="608">
        <v>0</v>
      </c>
      <c r="S111" s="608">
        <v>0</v>
      </c>
      <c r="T111" s="608">
        <v>0</v>
      </c>
      <c r="U111" s="608">
        <v>1</v>
      </c>
      <c r="V111" s="608">
        <v>0</v>
      </c>
      <c r="W111" s="608">
        <v>0</v>
      </c>
      <c r="X111" s="608">
        <v>0</v>
      </c>
      <c r="Y111" s="608">
        <v>0</v>
      </c>
      <c r="Z111" s="608">
        <v>0</v>
      </c>
      <c r="AA111" s="608">
        <v>1</v>
      </c>
      <c r="AB111" s="608">
        <v>0</v>
      </c>
      <c r="AC111" s="608">
        <v>4</v>
      </c>
      <c r="AD111" s="32">
        <f t="shared" si="35"/>
        <v>776</v>
      </c>
      <c r="AE111" s="32">
        <f t="shared" si="36"/>
        <v>2306</v>
      </c>
      <c r="AF111" s="32">
        <f t="shared" si="40"/>
        <v>5319</v>
      </c>
      <c r="AG111" s="37">
        <f t="shared" si="37"/>
        <v>585.4</v>
      </c>
      <c r="AH111" s="32">
        <f t="shared" si="38"/>
        <v>21526</v>
      </c>
      <c r="AI111" s="37">
        <f t="shared" si="39"/>
        <v>833.5</v>
      </c>
    </row>
    <row r="112" spans="1:35" s="605" customFormat="1" ht="19.5" hidden="1" customHeight="1">
      <c r="A112" s="610" t="s">
        <v>510</v>
      </c>
      <c r="B112" s="608">
        <v>52</v>
      </c>
      <c r="C112" s="608">
        <v>377</v>
      </c>
      <c r="D112" s="608">
        <v>30</v>
      </c>
      <c r="E112" s="608">
        <v>253</v>
      </c>
      <c r="F112" s="608">
        <v>0</v>
      </c>
      <c r="G112" s="608">
        <v>0</v>
      </c>
      <c r="H112" s="608">
        <v>0</v>
      </c>
      <c r="I112" s="608">
        <v>0</v>
      </c>
      <c r="J112" s="608">
        <v>1751</v>
      </c>
      <c r="K112" s="608">
        <v>3831</v>
      </c>
      <c r="L112" s="608">
        <v>2671</v>
      </c>
      <c r="M112" s="608">
        <v>6791</v>
      </c>
      <c r="N112" s="608">
        <v>0</v>
      </c>
      <c r="O112" s="608">
        <v>0</v>
      </c>
      <c r="P112" s="608">
        <v>0</v>
      </c>
      <c r="Q112" s="608">
        <v>0</v>
      </c>
      <c r="R112" s="608">
        <v>90</v>
      </c>
      <c r="S112" s="608">
        <v>229</v>
      </c>
      <c r="T112" s="608">
        <v>0</v>
      </c>
      <c r="U112" s="608">
        <v>0</v>
      </c>
      <c r="V112" s="608">
        <v>0</v>
      </c>
      <c r="W112" s="608">
        <v>0</v>
      </c>
      <c r="X112" s="608">
        <v>0</v>
      </c>
      <c r="Y112" s="608">
        <v>0</v>
      </c>
      <c r="Z112" s="608">
        <v>0</v>
      </c>
      <c r="AA112" s="608">
        <v>0</v>
      </c>
      <c r="AB112" s="608">
        <v>0</v>
      </c>
      <c r="AC112" s="608">
        <v>1</v>
      </c>
      <c r="AD112" s="32">
        <f t="shared" si="35"/>
        <v>1893</v>
      </c>
      <c r="AE112" s="32">
        <f t="shared" si="36"/>
        <v>4437</v>
      </c>
      <c r="AF112" s="32">
        <f t="shared" si="40"/>
        <v>2701</v>
      </c>
      <c r="AG112" s="37">
        <f t="shared" si="37"/>
        <v>42.7</v>
      </c>
      <c r="AH112" s="32">
        <f t="shared" si="38"/>
        <v>7045</v>
      </c>
      <c r="AI112" s="37">
        <f t="shared" si="39"/>
        <v>58.8</v>
      </c>
    </row>
    <row r="113" spans="1:35" s="605" customFormat="1" ht="19.5" hidden="1" customHeight="1">
      <c r="A113" s="611" t="s">
        <v>81</v>
      </c>
      <c r="B113" s="608">
        <v>0</v>
      </c>
      <c r="C113" s="608">
        <v>0</v>
      </c>
      <c r="D113" s="608">
        <v>0</v>
      </c>
      <c r="E113" s="608">
        <v>0</v>
      </c>
      <c r="F113" s="608">
        <v>0</v>
      </c>
      <c r="G113" s="608">
        <v>0</v>
      </c>
      <c r="H113" s="608">
        <v>0</v>
      </c>
      <c r="I113" s="608">
        <v>0</v>
      </c>
      <c r="J113" s="608">
        <v>2536</v>
      </c>
      <c r="K113" s="608">
        <v>5505</v>
      </c>
      <c r="L113" s="608">
        <v>4816</v>
      </c>
      <c r="M113" s="608">
        <v>12327</v>
      </c>
      <c r="N113" s="608">
        <v>0</v>
      </c>
      <c r="O113" s="608">
        <v>0</v>
      </c>
      <c r="P113" s="608">
        <v>0</v>
      </c>
      <c r="Q113" s="608">
        <v>0</v>
      </c>
      <c r="R113" s="608">
        <v>0</v>
      </c>
      <c r="S113" s="608">
        <v>0</v>
      </c>
      <c r="T113" s="608">
        <v>21</v>
      </c>
      <c r="U113" s="608">
        <v>109</v>
      </c>
      <c r="V113" s="608">
        <v>0</v>
      </c>
      <c r="W113" s="608">
        <v>0</v>
      </c>
      <c r="X113" s="608">
        <v>0</v>
      </c>
      <c r="Y113" s="608">
        <v>0</v>
      </c>
      <c r="Z113" s="608">
        <v>0</v>
      </c>
      <c r="AA113" s="608">
        <v>0</v>
      </c>
      <c r="AB113" s="608">
        <v>0</v>
      </c>
      <c r="AC113" s="608">
        <v>0</v>
      </c>
      <c r="AD113" s="32">
        <f t="shared" si="35"/>
        <v>2536</v>
      </c>
      <c r="AE113" s="32">
        <f t="shared" si="36"/>
        <v>5505</v>
      </c>
      <c r="AF113" s="32">
        <f t="shared" si="40"/>
        <v>4837</v>
      </c>
      <c r="AG113" s="37">
        <f t="shared" si="37"/>
        <v>90.7</v>
      </c>
      <c r="AH113" s="32">
        <f t="shared" si="38"/>
        <v>12436</v>
      </c>
      <c r="AI113" s="37">
        <f t="shared" si="39"/>
        <v>125.9</v>
      </c>
    </row>
    <row r="114" spans="1:35" s="605" customFormat="1" ht="19.5" hidden="1" customHeight="1">
      <c r="A114" s="610" t="s">
        <v>59</v>
      </c>
      <c r="B114" s="608">
        <v>678</v>
      </c>
      <c r="C114" s="608">
        <v>4767</v>
      </c>
      <c r="D114" s="608">
        <v>1186</v>
      </c>
      <c r="E114" s="608">
        <v>9539</v>
      </c>
      <c r="F114" s="608">
        <v>32</v>
      </c>
      <c r="G114" s="608">
        <v>340</v>
      </c>
      <c r="H114" s="608">
        <v>13</v>
      </c>
      <c r="I114" s="608">
        <v>192</v>
      </c>
      <c r="J114" s="608">
        <v>1007</v>
      </c>
      <c r="K114" s="608">
        <v>5248</v>
      </c>
      <c r="L114" s="608">
        <v>731</v>
      </c>
      <c r="M114" s="608">
        <v>3782</v>
      </c>
      <c r="N114" s="608">
        <v>97</v>
      </c>
      <c r="O114" s="608">
        <v>134</v>
      </c>
      <c r="P114" s="608">
        <v>0</v>
      </c>
      <c r="Q114" s="608">
        <v>3</v>
      </c>
      <c r="R114" s="608">
        <v>485</v>
      </c>
      <c r="S114" s="608">
        <v>1220</v>
      </c>
      <c r="T114" s="608">
        <v>708</v>
      </c>
      <c r="U114" s="608">
        <v>2162</v>
      </c>
      <c r="V114" s="608">
        <v>0</v>
      </c>
      <c r="W114" s="608">
        <v>5</v>
      </c>
      <c r="X114" s="608">
        <v>0</v>
      </c>
      <c r="Y114" s="608">
        <v>1</v>
      </c>
      <c r="Z114" s="608">
        <v>48</v>
      </c>
      <c r="AA114" s="608">
        <v>354</v>
      </c>
      <c r="AB114" s="608">
        <v>224</v>
      </c>
      <c r="AC114" s="608">
        <v>542</v>
      </c>
      <c r="AD114" s="32">
        <f t="shared" si="35"/>
        <v>2347</v>
      </c>
      <c r="AE114" s="32">
        <f t="shared" si="36"/>
        <v>12068</v>
      </c>
      <c r="AF114" s="32">
        <f t="shared" si="40"/>
        <v>2862</v>
      </c>
      <c r="AG114" s="37">
        <f t="shared" si="37"/>
        <v>21.9</v>
      </c>
      <c r="AH114" s="32">
        <f t="shared" si="38"/>
        <v>16221</v>
      </c>
      <c r="AI114" s="37">
        <f t="shared" si="39"/>
        <v>34.4</v>
      </c>
    </row>
    <row r="115" spans="1:35" s="605" customFormat="1" ht="19.5" hidden="1" customHeight="1">
      <c r="A115" s="610" t="s">
        <v>506</v>
      </c>
      <c r="B115" s="608">
        <v>39</v>
      </c>
      <c r="C115" s="608">
        <v>329</v>
      </c>
      <c r="D115" s="608">
        <v>25</v>
      </c>
      <c r="E115" s="608">
        <v>209</v>
      </c>
      <c r="F115" s="608">
        <v>0</v>
      </c>
      <c r="G115" s="608">
        <v>0</v>
      </c>
      <c r="H115" s="608">
        <v>0</v>
      </c>
      <c r="I115" s="608">
        <v>0</v>
      </c>
      <c r="J115" s="608">
        <v>1809</v>
      </c>
      <c r="K115" s="608">
        <v>4235</v>
      </c>
      <c r="L115" s="608">
        <v>1321</v>
      </c>
      <c r="M115" s="608">
        <v>3297</v>
      </c>
      <c r="N115" s="608">
        <v>27</v>
      </c>
      <c r="O115" s="608">
        <v>70</v>
      </c>
      <c r="P115" s="608">
        <v>0</v>
      </c>
      <c r="Q115" s="608">
        <v>0</v>
      </c>
      <c r="R115" s="608">
        <v>488</v>
      </c>
      <c r="S115" s="608">
        <v>1117</v>
      </c>
      <c r="T115" s="608">
        <v>2</v>
      </c>
      <c r="U115" s="608">
        <v>15</v>
      </c>
      <c r="V115" s="608">
        <v>0</v>
      </c>
      <c r="W115" s="608">
        <v>0</v>
      </c>
      <c r="X115" s="608">
        <v>39</v>
      </c>
      <c r="Y115" s="608">
        <v>745</v>
      </c>
      <c r="Z115" s="608">
        <v>0</v>
      </c>
      <c r="AA115" s="608">
        <v>14</v>
      </c>
      <c r="AB115" s="608">
        <v>0</v>
      </c>
      <c r="AC115" s="608">
        <v>0</v>
      </c>
      <c r="AD115" s="32">
        <f t="shared" si="35"/>
        <v>2363</v>
      </c>
      <c r="AE115" s="32">
        <f t="shared" si="36"/>
        <v>5765</v>
      </c>
      <c r="AF115" s="32">
        <f t="shared" si="40"/>
        <v>1387</v>
      </c>
      <c r="AG115" s="37">
        <f t="shared" si="37"/>
        <v>-41.3</v>
      </c>
      <c r="AH115" s="32">
        <f t="shared" si="38"/>
        <v>4266</v>
      </c>
      <c r="AI115" s="37">
        <f t="shared" si="39"/>
        <v>-26</v>
      </c>
    </row>
    <row r="116" spans="1:35" s="605" customFormat="1" ht="19.5" hidden="1" customHeight="1">
      <c r="A116" s="611" t="s">
        <v>83</v>
      </c>
      <c r="B116" s="608">
        <v>516</v>
      </c>
      <c r="C116" s="608">
        <v>3345</v>
      </c>
      <c r="D116" s="608">
        <v>756</v>
      </c>
      <c r="E116" s="608">
        <v>6226</v>
      </c>
      <c r="F116" s="608">
        <v>0</v>
      </c>
      <c r="G116" s="608">
        <v>0</v>
      </c>
      <c r="H116" s="608">
        <v>0</v>
      </c>
      <c r="I116" s="608">
        <v>0</v>
      </c>
      <c r="J116" s="608">
        <v>1080</v>
      </c>
      <c r="K116" s="608">
        <v>2613</v>
      </c>
      <c r="L116" s="608">
        <v>1342</v>
      </c>
      <c r="M116" s="608">
        <v>3497</v>
      </c>
      <c r="N116" s="608">
        <v>0</v>
      </c>
      <c r="O116" s="608">
        <v>0</v>
      </c>
      <c r="P116" s="608">
        <v>0</v>
      </c>
      <c r="Q116" s="608">
        <v>0</v>
      </c>
      <c r="R116" s="608">
        <v>25</v>
      </c>
      <c r="S116" s="608">
        <v>61</v>
      </c>
      <c r="T116" s="608">
        <v>128</v>
      </c>
      <c r="U116" s="608">
        <v>383</v>
      </c>
      <c r="V116" s="608">
        <v>0</v>
      </c>
      <c r="W116" s="608">
        <v>0</v>
      </c>
      <c r="X116" s="608">
        <v>0</v>
      </c>
      <c r="Y116" s="608">
        <v>0</v>
      </c>
      <c r="Z116" s="608">
        <v>0</v>
      </c>
      <c r="AA116" s="608">
        <v>0</v>
      </c>
      <c r="AB116" s="608">
        <v>0</v>
      </c>
      <c r="AC116" s="608">
        <v>0</v>
      </c>
      <c r="AD116" s="32">
        <f t="shared" si="35"/>
        <v>1621</v>
      </c>
      <c r="AE116" s="32">
        <f t="shared" si="36"/>
        <v>6019</v>
      </c>
      <c r="AF116" s="32">
        <f t="shared" si="40"/>
        <v>2226</v>
      </c>
      <c r="AG116" s="37">
        <f t="shared" si="37"/>
        <v>37.299999999999997</v>
      </c>
      <c r="AH116" s="32">
        <f t="shared" si="38"/>
        <v>10106</v>
      </c>
      <c r="AI116" s="37">
        <f t="shared" si="39"/>
        <v>67.900000000000006</v>
      </c>
    </row>
    <row r="117" spans="1:35" s="605" customFormat="1" ht="19.5" hidden="1" customHeight="1">
      <c r="A117" s="611" t="s">
        <v>511</v>
      </c>
      <c r="B117" s="608">
        <v>0</v>
      </c>
      <c r="C117" s="608">
        <v>0</v>
      </c>
      <c r="D117" s="608">
        <v>0</v>
      </c>
      <c r="E117" s="608">
        <v>0</v>
      </c>
      <c r="F117" s="608">
        <v>0</v>
      </c>
      <c r="G117" s="608">
        <v>0</v>
      </c>
      <c r="H117" s="608">
        <v>0</v>
      </c>
      <c r="I117" s="608">
        <v>0</v>
      </c>
      <c r="J117" s="608">
        <v>295</v>
      </c>
      <c r="K117" s="608">
        <v>622</v>
      </c>
      <c r="L117" s="608">
        <v>207</v>
      </c>
      <c r="M117" s="608">
        <v>630</v>
      </c>
      <c r="N117" s="608">
        <v>150</v>
      </c>
      <c r="O117" s="608">
        <v>305</v>
      </c>
      <c r="P117" s="608">
        <v>0</v>
      </c>
      <c r="Q117" s="608">
        <v>0</v>
      </c>
      <c r="R117" s="608">
        <v>477</v>
      </c>
      <c r="S117" s="608">
        <v>1052</v>
      </c>
      <c r="T117" s="608">
        <v>200</v>
      </c>
      <c r="U117" s="608">
        <v>570</v>
      </c>
      <c r="V117" s="608">
        <v>0</v>
      </c>
      <c r="W117" s="608">
        <v>0</v>
      </c>
      <c r="X117" s="608">
        <v>0</v>
      </c>
      <c r="Y117" s="608">
        <v>0</v>
      </c>
      <c r="Z117" s="608">
        <v>0</v>
      </c>
      <c r="AA117" s="608">
        <v>0</v>
      </c>
      <c r="AB117" s="608">
        <v>0</v>
      </c>
      <c r="AC117" s="608">
        <v>0</v>
      </c>
      <c r="AD117" s="32">
        <f t="shared" si="35"/>
        <v>922</v>
      </c>
      <c r="AE117" s="32">
        <f t="shared" si="36"/>
        <v>1979</v>
      </c>
      <c r="AF117" s="32">
        <f t="shared" si="40"/>
        <v>407</v>
      </c>
      <c r="AG117" s="37">
        <f t="shared" si="37"/>
        <v>-55.9</v>
      </c>
      <c r="AH117" s="32">
        <f t="shared" si="38"/>
        <v>1200</v>
      </c>
      <c r="AI117" s="37">
        <f t="shared" si="39"/>
        <v>-39.4</v>
      </c>
    </row>
    <row r="118" spans="1:35" s="605" customFormat="1" ht="19.5" hidden="1" customHeight="1">
      <c r="A118" s="30" t="s">
        <v>71</v>
      </c>
      <c r="B118" s="33">
        <f t="shared" ref="B118:G118" si="41">B119-SUM(B88:B117)</f>
        <v>4626</v>
      </c>
      <c r="C118" s="33">
        <f t="shared" si="41"/>
        <v>37844</v>
      </c>
      <c r="D118" s="33">
        <f t="shared" si="41"/>
        <v>3152</v>
      </c>
      <c r="E118" s="33">
        <f t="shared" si="41"/>
        <v>34082</v>
      </c>
      <c r="F118" s="33">
        <f t="shared" si="41"/>
        <v>286</v>
      </c>
      <c r="G118" s="33">
        <f t="shared" si="41"/>
        <v>2774</v>
      </c>
      <c r="H118" s="33">
        <f t="shared" ref="H118:AC118" si="42">H119-SUM(H88:H117)</f>
        <v>333</v>
      </c>
      <c r="I118" s="33">
        <f t="shared" si="42"/>
        <v>3860</v>
      </c>
      <c r="J118" s="33">
        <f t="shared" si="42"/>
        <v>12634</v>
      </c>
      <c r="K118" s="33">
        <f t="shared" si="42"/>
        <v>51936</v>
      </c>
      <c r="L118" s="33">
        <f t="shared" si="42"/>
        <v>14862</v>
      </c>
      <c r="M118" s="33">
        <f t="shared" si="42"/>
        <v>58930</v>
      </c>
      <c r="N118" s="33">
        <f t="shared" si="42"/>
        <v>1503</v>
      </c>
      <c r="O118" s="33">
        <f t="shared" si="42"/>
        <v>3190</v>
      </c>
      <c r="P118" s="33">
        <f t="shared" si="42"/>
        <v>474</v>
      </c>
      <c r="Q118" s="33">
        <f t="shared" si="42"/>
        <v>795</v>
      </c>
      <c r="R118" s="33">
        <f t="shared" si="42"/>
        <v>8026</v>
      </c>
      <c r="S118" s="33">
        <f t="shared" si="42"/>
        <v>19325</v>
      </c>
      <c r="T118" s="33">
        <f t="shared" si="42"/>
        <v>2297</v>
      </c>
      <c r="U118" s="33">
        <f t="shared" si="42"/>
        <v>6679</v>
      </c>
      <c r="V118" s="33">
        <f t="shared" si="42"/>
        <v>7</v>
      </c>
      <c r="W118" s="33">
        <f t="shared" si="42"/>
        <v>97</v>
      </c>
      <c r="X118" s="33">
        <f t="shared" si="42"/>
        <v>14</v>
      </c>
      <c r="Y118" s="33">
        <f t="shared" si="42"/>
        <v>234</v>
      </c>
      <c r="Z118" s="33">
        <f t="shared" si="42"/>
        <v>589</v>
      </c>
      <c r="AA118" s="33">
        <f t="shared" si="42"/>
        <v>7961</v>
      </c>
      <c r="AB118" s="33">
        <f t="shared" si="42"/>
        <v>545</v>
      </c>
      <c r="AC118" s="33">
        <f t="shared" si="42"/>
        <v>9254</v>
      </c>
      <c r="AD118" s="33">
        <f>AD119-SUM(AD88:AD117)</f>
        <v>27671</v>
      </c>
      <c r="AE118" s="33">
        <f>AE119-SUM(AE88:AE117)</f>
        <v>123127</v>
      </c>
      <c r="AF118" s="33">
        <f>AF119-SUM(AF88:AF117)</f>
        <v>21677</v>
      </c>
      <c r="AG118" s="37">
        <f t="shared" si="37"/>
        <v>-21.7</v>
      </c>
      <c r="AH118" s="33">
        <f>AH119-SUM(AH88:AH117)</f>
        <v>113834</v>
      </c>
      <c r="AI118" s="38">
        <f t="shared" si="39"/>
        <v>-7.5</v>
      </c>
    </row>
    <row r="119" spans="1:35" s="605" customFormat="1" ht="19.5" hidden="1" customHeight="1">
      <c r="A119" s="704" t="s">
        <v>72</v>
      </c>
      <c r="B119" s="609">
        <v>158580</v>
      </c>
      <c r="C119" s="609">
        <v>1069524</v>
      </c>
      <c r="D119" s="609">
        <v>181663</v>
      </c>
      <c r="E119" s="609">
        <v>1548963</v>
      </c>
      <c r="F119" s="609">
        <v>3506</v>
      </c>
      <c r="G119" s="368">
        <v>33315</v>
      </c>
      <c r="H119" s="609">
        <v>4235</v>
      </c>
      <c r="I119" s="609">
        <v>39673</v>
      </c>
      <c r="J119" s="609">
        <v>298945</v>
      </c>
      <c r="K119" s="609">
        <v>909441</v>
      </c>
      <c r="L119" s="609">
        <v>304217</v>
      </c>
      <c r="M119" s="609">
        <v>1042217</v>
      </c>
      <c r="N119" s="609">
        <v>90560</v>
      </c>
      <c r="O119" s="609">
        <v>187692</v>
      </c>
      <c r="P119" s="609">
        <v>72125</v>
      </c>
      <c r="Q119" s="609">
        <v>160047</v>
      </c>
      <c r="R119" s="609">
        <v>155794</v>
      </c>
      <c r="S119" s="609">
        <v>356226</v>
      </c>
      <c r="T119" s="609">
        <v>151179</v>
      </c>
      <c r="U119" s="609">
        <v>430384</v>
      </c>
      <c r="V119" s="609">
        <v>393</v>
      </c>
      <c r="W119" s="609">
        <v>9991</v>
      </c>
      <c r="X119" s="609">
        <v>520</v>
      </c>
      <c r="Y119" s="609">
        <v>14265</v>
      </c>
      <c r="Z119" s="609">
        <v>5470</v>
      </c>
      <c r="AA119" s="368">
        <v>60932</v>
      </c>
      <c r="AB119" s="609">
        <v>3850</v>
      </c>
      <c r="AC119" s="609">
        <v>60184</v>
      </c>
      <c r="AD119" s="35">
        <f>SUM(B119+F119+J119+N119+R119+V119+Z119)</f>
        <v>713248</v>
      </c>
      <c r="AE119" s="35">
        <f>SUM(C119+G119+K119+O119+S119+W119+AA119)</f>
        <v>2627121</v>
      </c>
      <c r="AF119" s="35">
        <f>SUM(D119+H119+L119+P119+T119+X119+AB119)</f>
        <v>717789</v>
      </c>
      <c r="AG119" s="220">
        <f t="shared" si="37"/>
        <v>0.6</v>
      </c>
      <c r="AH119" s="35">
        <f>SUM(E119+I119+M119+Q119+U119+Y119+AC119)</f>
        <v>3295733</v>
      </c>
      <c r="AI119" s="38">
        <f t="shared" si="39"/>
        <v>25.5</v>
      </c>
    </row>
    <row r="120" spans="1:35" hidden="1"/>
    <row r="121" spans="1:35" s="605" customFormat="1" ht="22.5" hidden="1" customHeight="1">
      <c r="A121" s="736" t="s">
        <v>592</v>
      </c>
      <c r="B121" s="736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  <c r="S121" s="736"/>
      <c r="T121" s="736"/>
      <c r="U121" s="736"/>
      <c r="V121" s="736"/>
      <c r="W121" s="736"/>
      <c r="X121" s="736"/>
      <c r="Y121" s="736"/>
      <c r="Z121" s="736"/>
      <c r="AA121" s="736"/>
      <c r="AB121" s="736"/>
      <c r="AC121" s="736"/>
      <c r="AD121" s="736"/>
      <c r="AE121" s="736"/>
      <c r="AF121" s="736"/>
      <c r="AG121" s="736"/>
      <c r="AH121" s="736"/>
      <c r="AI121" s="736"/>
    </row>
    <row r="122" spans="1:35" s="605" customFormat="1" ht="16.5" hidden="1" customHeight="1">
      <c r="A122" s="20"/>
      <c r="B122" s="21"/>
      <c r="C122" s="21"/>
      <c r="D122" s="21"/>
      <c r="E122" s="21"/>
      <c r="F122" s="21"/>
      <c r="G122" s="20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2"/>
      <c r="S122" s="2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s="605" customFormat="1" ht="16.5" hidden="1" customHeight="1">
      <c r="A123" s="23"/>
      <c r="B123" s="24"/>
      <c r="C123" s="24"/>
      <c r="D123" s="24"/>
      <c r="E123" s="24"/>
      <c r="F123" s="24"/>
      <c r="G123" s="23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  <c r="S123" s="25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6" t="s">
        <v>0</v>
      </c>
    </row>
    <row r="124" spans="1:35" s="605" customFormat="1" ht="21.75" hidden="1" customHeight="1">
      <c r="A124" s="758" t="s">
        <v>36</v>
      </c>
      <c r="B124" s="765" t="s">
        <v>593</v>
      </c>
      <c r="C124" s="766"/>
      <c r="D124" s="766"/>
      <c r="E124" s="767"/>
      <c r="F124" s="765" t="s">
        <v>594</v>
      </c>
      <c r="G124" s="766"/>
      <c r="H124" s="766"/>
      <c r="I124" s="767"/>
      <c r="J124" s="765" t="s">
        <v>595</v>
      </c>
      <c r="K124" s="766"/>
      <c r="L124" s="766"/>
      <c r="M124" s="767"/>
      <c r="N124" s="765" t="s">
        <v>596</v>
      </c>
      <c r="O124" s="766"/>
      <c r="P124" s="766"/>
      <c r="Q124" s="767"/>
      <c r="R124" s="765" t="s">
        <v>597</v>
      </c>
      <c r="S124" s="766"/>
      <c r="T124" s="766"/>
      <c r="U124" s="767"/>
      <c r="V124" s="765" t="s">
        <v>598</v>
      </c>
      <c r="W124" s="766"/>
      <c r="X124" s="766"/>
      <c r="Y124" s="767"/>
      <c r="Z124" s="765" t="s">
        <v>599</v>
      </c>
      <c r="AA124" s="766"/>
      <c r="AB124" s="766"/>
      <c r="AC124" s="767"/>
      <c r="AD124" s="765" t="s">
        <v>600</v>
      </c>
      <c r="AE124" s="766"/>
      <c r="AF124" s="766"/>
      <c r="AG124" s="766"/>
      <c r="AH124" s="766"/>
      <c r="AI124" s="767"/>
    </row>
    <row r="125" spans="1:35" s="605" customFormat="1" ht="21" hidden="1" customHeight="1">
      <c r="A125" s="836"/>
      <c r="B125" s="765" t="s">
        <v>431</v>
      </c>
      <c r="C125" s="767"/>
      <c r="D125" s="765" t="s">
        <v>503</v>
      </c>
      <c r="E125" s="767"/>
      <c r="F125" s="765" t="s">
        <v>431</v>
      </c>
      <c r="G125" s="767"/>
      <c r="H125" s="765" t="s">
        <v>503</v>
      </c>
      <c r="I125" s="767"/>
      <c r="J125" s="765" t="s">
        <v>431</v>
      </c>
      <c r="K125" s="767"/>
      <c r="L125" s="765" t="s">
        <v>503</v>
      </c>
      <c r="M125" s="767"/>
      <c r="N125" s="765" t="s">
        <v>431</v>
      </c>
      <c r="O125" s="767"/>
      <c r="P125" s="765" t="s">
        <v>503</v>
      </c>
      <c r="Q125" s="767"/>
      <c r="R125" s="765" t="s">
        <v>431</v>
      </c>
      <c r="S125" s="767"/>
      <c r="T125" s="765" t="s">
        <v>503</v>
      </c>
      <c r="U125" s="767"/>
      <c r="V125" s="765" t="s">
        <v>431</v>
      </c>
      <c r="W125" s="767"/>
      <c r="X125" s="765" t="s">
        <v>503</v>
      </c>
      <c r="Y125" s="767"/>
      <c r="Z125" s="765" t="s">
        <v>431</v>
      </c>
      <c r="AA125" s="767"/>
      <c r="AB125" s="765" t="s">
        <v>503</v>
      </c>
      <c r="AC125" s="767"/>
      <c r="AD125" s="765" t="s">
        <v>431</v>
      </c>
      <c r="AE125" s="767"/>
      <c r="AF125" s="765" t="s">
        <v>503</v>
      </c>
      <c r="AG125" s="766"/>
      <c r="AH125" s="766"/>
      <c r="AI125" s="767"/>
    </row>
    <row r="126" spans="1:35" s="605" customFormat="1" hidden="1">
      <c r="A126" s="836"/>
      <c r="B126" s="758" t="s">
        <v>37</v>
      </c>
      <c r="C126" s="758" t="s">
        <v>38</v>
      </c>
      <c r="D126" s="758" t="s">
        <v>39</v>
      </c>
      <c r="E126" s="758" t="s">
        <v>38</v>
      </c>
      <c r="F126" s="758" t="s">
        <v>40</v>
      </c>
      <c r="G126" s="758" t="s">
        <v>38</v>
      </c>
      <c r="H126" s="758" t="s">
        <v>39</v>
      </c>
      <c r="I126" s="758" t="s">
        <v>38</v>
      </c>
      <c r="J126" s="758" t="s">
        <v>37</v>
      </c>
      <c r="K126" s="758" t="s">
        <v>38</v>
      </c>
      <c r="L126" s="758" t="s">
        <v>39</v>
      </c>
      <c r="M126" s="758" t="s">
        <v>38</v>
      </c>
      <c r="N126" s="758" t="s">
        <v>37</v>
      </c>
      <c r="O126" s="758" t="s">
        <v>38</v>
      </c>
      <c r="P126" s="758" t="s">
        <v>39</v>
      </c>
      <c r="Q126" s="758" t="s">
        <v>38</v>
      </c>
      <c r="R126" s="758" t="s">
        <v>37</v>
      </c>
      <c r="S126" s="758" t="s">
        <v>38</v>
      </c>
      <c r="T126" s="758" t="s">
        <v>39</v>
      </c>
      <c r="U126" s="758" t="s">
        <v>38</v>
      </c>
      <c r="V126" s="758" t="s">
        <v>37</v>
      </c>
      <c r="W126" s="758" t="s">
        <v>38</v>
      </c>
      <c r="X126" s="758" t="s">
        <v>41</v>
      </c>
      <c r="Y126" s="758" t="s">
        <v>38</v>
      </c>
      <c r="Z126" s="758" t="s">
        <v>37</v>
      </c>
      <c r="AA126" s="758" t="s">
        <v>38</v>
      </c>
      <c r="AB126" s="758" t="s">
        <v>39</v>
      </c>
      <c r="AC126" s="758" t="s">
        <v>38</v>
      </c>
      <c r="AD126" s="758" t="s">
        <v>37</v>
      </c>
      <c r="AE126" s="758" t="s">
        <v>38</v>
      </c>
      <c r="AF126" s="772" t="s">
        <v>39</v>
      </c>
      <c r="AG126" s="27"/>
      <c r="AH126" s="772" t="s">
        <v>38</v>
      </c>
      <c r="AI126" s="27"/>
    </row>
    <row r="127" spans="1:35" s="605" customFormat="1" ht="17.25" hidden="1" thickBot="1">
      <c r="A127" s="835"/>
      <c r="B127" s="835"/>
      <c r="C127" s="835"/>
      <c r="D127" s="835"/>
      <c r="E127" s="835"/>
      <c r="F127" s="835"/>
      <c r="G127" s="835"/>
      <c r="H127" s="835"/>
      <c r="I127" s="835"/>
      <c r="J127" s="835"/>
      <c r="K127" s="835"/>
      <c r="L127" s="835"/>
      <c r="M127" s="835"/>
      <c r="N127" s="835"/>
      <c r="O127" s="835"/>
      <c r="P127" s="835"/>
      <c r="Q127" s="835"/>
      <c r="R127" s="835"/>
      <c r="S127" s="835"/>
      <c r="T127" s="835"/>
      <c r="U127" s="835"/>
      <c r="V127" s="835"/>
      <c r="W127" s="835"/>
      <c r="X127" s="835"/>
      <c r="Y127" s="835"/>
      <c r="Z127" s="835"/>
      <c r="AA127" s="835"/>
      <c r="AB127" s="835"/>
      <c r="AC127" s="835"/>
      <c r="AD127" s="835"/>
      <c r="AE127" s="835"/>
      <c r="AF127" s="834"/>
      <c r="AG127" s="28" t="s">
        <v>42</v>
      </c>
      <c r="AH127" s="834"/>
      <c r="AI127" s="28" t="s">
        <v>42</v>
      </c>
    </row>
    <row r="128" spans="1:35" s="605" customFormat="1" ht="19.5" hidden="1" customHeight="1" thickTop="1">
      <c r="A128" s="611" t="s">
        <v>43</v>
      </c>
      <c r="B128" s="608">
        <v>80958</v>
      </c>
      <c r="C128" s="608">
        <v>528799</v>
      </c>
      <c r="D128" s="608">
        <v>120423</v>
      </c>
      <c r="E128" s="608">
        <v>979325</v>
      </c>
      <c r="F128" s="608">
        <v>1461</v>
      </c>
      <c r="G128" s="608">
        <v>8904</v>
      </c>
      <c r="H128" s="608">
        <v>2269</v>
      </c>
      <c r="I128" s="608">
        <v>16145</v>
      </c>
      <c r="J128" s="608">
        <v>81894</v>
      </c>
      <c r="K128" s="608">
        <v>224432</v>
      </c>
      <c r="L128" s="608">
        <v>90759</v>
      </c>
      <c r="M128" s="608">
        <v>287608</v>
      </c>
      <c r="N128" s="608">
        <v>1144</v>
      </c>
      <c r="O128" s="608">
        <v>2738</v>
      </c>
      <c r="P128" s="608">
        <v>506</v>
      </c>
      <c r="Q128" s="608">
        <v>1278</v>
      </c>
      <c r="R128" s="608">
        <v>20787</v>
      </c>
      <c r="S128" s="608">
        <v>44200</v>
      </c>
      <c r="T128" s="608">
        <v>29771</v>
      </c>
      <c r="U128" s="608">
        <v>84051</v>
      </c>
      <c r="V128" s="608">
        <v>91</v>
      </c>
      <c r="W128" s="608">
        <v>2832</v>
      </c>
      <c r="X128" s="608">
        <v>126</v>
      </c>
      <c r="Y128" s="608">
        <v>4419</v>
      </c>
      <c r="Z128" s="608">
        <v>2947</v>
      </c>
      <c r="AA128" s="608">
        <v>24888</v>
      </c>
      <c r="AB128" s="608">
        <v>999</v>
      </c>
      <c r="AC128" s="608">
        <v>28090</v>
      </c>
      <c r="AD128" s="32">
        <f t="shared" ref="AD128:AD157" si="43">SUM(B128+F128+J128+N128+R128+V128+Z128)</f>
        <v>189282</v>
      </c>
      <c r="AE128" s="32">
        <f>SUM(C128+G128+K128+O128+S128+W128+AA128)</f>
        <v>836793</v>
      </c>
      <c r="AF128" s="32">
        <f>SUM(D128+H128+L128+P128+T128+X128+AB128)</f>
        <v>244853</v>
      </c>
      <c r="AG128" s="37">
        <f>ROUND(((AF128/AD128-1)*100),1)</f>
        <v>29.4</v>
      </c>
      <c r="AH128" s="32">
        <f>SUM(E128+I128+M128+Q128+U128+Y128+AC128)</f>
        <v>1400916</v>
      </c>
      <c r="AI128" s="37">
        <f>ROUND(((AH128/AE128-1)*100),1)</f>
        <v>67.400000000000006</v>
      </c>
    </row>
    <row r="129" spans="1:35" s="605" customFormat="1" ht="19.5" hidden="1" customHeight="1">
      <c r="A129" s="611" t="s">
        <v>44</v>
      </c>
      <c r="B129" s="608">
        <v>20889</v>
      </c>
      <c r="C129" s="608">
        <v>157953</v>
      </c>
      <c r="D129" s="608">
        <v>20643</v>
      </c>
      <c r="E129" s="608">
        <v>210043</v>
      </c>
      <c r="F129" s="608">
        <v>93</v>
      </c>
      <c r="G129" s="608">
        <v>3204</v>
      </c>
      <c r="H129" s="608">
        <v>78</v>
      </c>
      <c r="I129" s="608">
        <v>2514</v>
      </c>
      <c r="J129" s="608">
        <v>78353</v>
      </c>
      <c r="K129" s="608">
        <v>209241</v>
      </c>
      <c r="L129" s="608">
        <v>76488</v>
      </c>
      <c r="M129" s="608">
        <v>230263</v>
      </c>
      <c r="N129" s="608">
        <v>34159</v>
      </c>
      <c r="O129" s="608">
        <v>69287</v>
      </c>
      <c r="P129" s="608">
        <v>41639</v>
      </c>
      <c r="Q129" s="608">
        <v>91966</v>
      </c>
      <c r="R129" s="608">
        <v>28568</v>
      </c>
      <c r="S129" s="608">
        <v>66598</v>
      </c>
      <c r="T129" s="608">
        <v>41206</v>
      </c>
      <c r="U129" s="608">
        <v>119747</v>
      </c>
      <c r="V129" s="608">
        <v>103</v>
      </c>
      <c r="W129" s="608">
        <v>1744</v>
      </c>
      <c r="X129" s="608">
        <v>114</v>
      </c>
      <c r="Y129" s="608">
        <v>2798</v>
      </c>
      <c r="Z129" s="608">
        <v>67</v>
      </c>
      <c r="AA129" s="608">
        <v>2722</v>
      </c>
      <c r="AB129" s="608">
        <v>29</v>
      </c>
      <c r="AC129" s="608">
        <v>1831</v>
      </c>
      <c r="AD129" s="32">
        <f t="shared" si="43"/>
        <v>162232</v>
      </c>
      <c r="AE129" s="32">
        <f t="shared" ref="AE129:AE157" si="44">SUM(C129+G129+K129+O129+S129+W129+AA129)</f>
        <v>510749</v>
      </c>
      <c r="AF129" s="32">
        <f>SUM(D129+H129+L129+P129+T129+X129+AB129)</f>
        <v>180197</v>
      </c>
      <c r="AG129" s="37">
        <f t="shared" ref="AG129:AG159" si="45">ROUND(((AF129/AD129-1)*100),1)</f>
        <v>11.1</v>
      </c>
      <c r="AH129" s="32">
        <f t="shared" ref="AH129:AH157" si="46">SUM(E129+I129+M129+Q129+U129+Y129+AC129)</f>
        <v>659162</v>
      </c>
      <c r="AI129" s="37">
        <f t="shared" ref="AI129:AI159" si="47">ROUND(((AH129/AE129-1)*100),1)</f>
        <v>29.1</v>
      </c>
    </row>
    <row r="130" spans="1:35" s="605" customFormat="1" ht="19.5" hidden="1" customHeight="1">
      <c r="A130" s="611" t="s">
        <v>46</v>
      </c>
      <c r="B130" s="608">
        <v>10649</v>
      </c>
      <c r="C130" s="608">
        <v>88127</v>
      </c>
      <c r="D130" s="608">
        <v>11977</v>
      </c>
      <c r="E130" s="608">
        <v>131354</v>
      </c>
      <c r="F130" s="608">
        <v>250</v>
      </c>
      <c r="G130" s="608">
        <v>2801</v>
      </c>
      <c r="H130" s="608">
        <v>68</v>
      </c>
      <c r="I130" s="608">
        <v>1191</v>
      </c>
      <c r="J130" s="608">
        <v>32180</v>
      </c>
      <c r="K130" s="608">
        <v>122470</v>
      </c>
      <c r="L130" s="608">
        <v>39725</v>
      </c>
      <c r="M130" s="608">
        <v>168782</v>
      </c>
      <c r="N130" s="608">
        <v>31483</v>
      </c>
      <c r="O130" s="608">
        <v>60369</v>
      </c>
      <c r="P130" s="608">
        <v>21606</v>
      </c>
      <c r="Q130" s="608">
        <v>46309</v>
      </c>
      <c r="R130" s="608">
        <v>39240</v>
      </c>
      <c r="S130" s="608">
        <v>77342</v>
      </c>
      <c r="T130" s="608">
        <v>30</v>
      </c>
      <c r="U130" s="608">
        <v>471</v>
      </c>
      <c r="V130" s="608">
        <v>4</v>
      </c>
      <c r="W130" s="608">
        <v>636</v>
      </c>
      <c r="X130" s="608">
        <v>3</v>
      </c>
      <c r="Y130" s="608">
        <v>583</v>
      </c>
      <c r="Z130" s="608">
        <v>1258</v>
      </c>
      <c r="AA130" s="608">
        <v>14541</v>
      </c>
      <c r="AB130" s="608">
        <v>1393</v>
      </c>
      <c r="AC130" s="608">
        <v>18844</v>
      </c>
      <c r="AD130" s="32">
        <f t="shared" si="43"/>
        <v>115064</v>
      </c>
      <c r="AE130" s="32">
        <f t="shared" si="44"/>
        <v>366286</v>
      </c>
      <c r="AF130" s="32">
        <f t="shared" ref="AF130:AF157" si="48">SUM(D130+H130+L130+P130+T130+X130+AB130)</f>
        <v>74802</v>
      </c>
      <c r="AG130" s="37">
        <f t="shared" si="45"/>
        <v>-35</v>
      </c>
      <c r="AH130" s="32">
        <f t="shared" si="46"/>
        <v>367534</v>
      </c>
      <c r="AI130" s="37">
        <f t="shared" si="47"/>
        <v>0.3</v>
      </c>
    </row>
    <row r="131" spans="1:35" s="605" customFormat="1" ht="19.5" hidden="1" customHeight="1">
      <c r="A131" s="611" t="s">
        <v>45</v>
      </c>
      <c r="B131" s="608">
        <v>3691</v>
      </c>
      <c r="C131" s="608">
        <v>23038</v>
      </c>
      <c r="D131" s="608">
        <v>5047</v>
      </c>
      <c r="E131" s="608">
        <v>40651</v>
      </c>
      <c r="F131" s="608">
        <v>286</v>
      </c>
      <c r="G131" s="608">
        <v>4206</v>
      </c>
      <c r="H131" s="608">
        <v>292</v>
      </c>
      <c r="I131" s="608">
        <v>4277</v>
      </c>
      <c r="J131" s="608">
        <v>24760</v>
      </c>
      <c r="K131" s="608">
        <v>64476</v>
      </c>
      <c r="L131" s="608">
        <v>27169</v>
      </c>
      <c r="M131" s="608">
        <v>79075</v>
      </c>
      <c r="N131" s="608">
        <v>26971</v>
      </c>
      <c r="O131" s="608">
        <v>55033</v>
      </c>
      <c r="P131" s="608">
        <v>22491</v>
      </c>
      <c r="Q131" s="608">
        <v>48985</v>
      </c>
      <c r="R131" s="608">
        <v>32544</v>
      </c>
      <c r="S131" s="608">
        <v>76886</v>
      </c>
      <c r="T131" s="608">
        <v>36986</v>
      </c>
      <c r="U131" s="608">
        <v>104241</v>
      </c>
      <c r="V131" s="608">
        <v>2</v>
      </c>
      <c r="W131" s="608">
        <v>43</v>
      </c>
      <c r="X131" s="608">
        <v>8</v>
      </c>
      <c r="Y131" s="608">
        <v>217</v>
      </c>
      <c r="Z131" s="608">
        <v>527</v>
      </c>
      <c r="AA131" s="608">
        <v>1949</v>
      </c>
      <c r="AB131" s="608">
        <v>1065</v>
      </c>
      <c r="AC131" s="608">
        <v>3759</v>
      </c>
      <c r="AD131" s="32">
        <f t="shared" si="43"/>
        <v>88781</v>
      </c>
      <c r="AE131" s="32">
        <f t="shared" si="44"/>
        <v>225631</v>
      </c>
      <c r="AF131" s="32">
        <f t="shared" si="48"/>
        <v>93058</v>
      </c>
      <c r="AG131" s="37">
        <f t="shared" si="45"/>
        <v>4.8</v>
      </c>
      <c r="AH131" s="32">
        <f t="shared" si="46"/>
        <v>281205</v>
      </c>
      <c r="AI131" s="37">
        <f t="shared" si="47"/>
        <v>24.6</v>
      </c>
    </row>
    <row r="132" spans="1:35" s="605" customFormat="1" ht="19.5" hidden="1" customHeight="1">
      <c r="A132" s="611" t="s">
        <v>48</v>
      </c>
      <c r="B132" s="608">
        <v>9587</v>
      </c>
      <c r="C132" s="608">
        <v>54135</v>
      </c>
      <c r="D132" s="608">
        <v>11516</v>
      </c>
      <c r="E132" s="608">
        <v>90218</v>
      </c>
      <c r="F132" s="608">
        <v>19</v>
      </c>
      <c r="G132" s="608">
        <v>298</v>
      </c>
      <c r="H132" s="608">
        <v>22</v>
      </c>
      <c r="I132" s="608">
        <v>248</v>
      </c>
      <c r="J132" s="608">
        <v>15927</v>
      </c>
      <c r="K132" s="608">
        <v>47670</v>
      </c>
      <c r="L132" s="608">
        <v>16048</v>
      </c>
      <c r="M132" s="608">
        <v>53578</v>
      </c>
      <c r="N132" s="608">
        <v>7136</v>
      </c>
      <c r="O132" s="608">
        <v>14296</v>
      </c>
      <c r="P132" s="608">
        <v>6519</v>
      </c>
      <c r="Q132" s="608">
        <v>14517</v>
      </c>
      <c r="R132" s="608">
        <v>10377</v>
      </c>
      <c r="S132" s="608">
        <v>24899</v>
      </c>
      <c r="T132" s="608">
        <v>12345</v>
      </c>
      <c r="U132" s="608">
        <v>35741</v>
      </c>
      <c r="V132" s="608">
        <v>34</v>
      </c>
      <c r="W132" s="608">
        <v>763</v>
      </c>
      <c r="X132" s="608">
        <v>24</v>
      </c>
      <c r="Y132" s="608">
        <v>756</v>
      </c>
      <c r="Z132" s="608">
        <v>109</v>
      </c>
      <c r="AA132" s="608">
        <v>814</v>
      </c>
      <c r="AB132" s="608">
        <v>63</v>
      </c>
      <c r="AC132" s="608">
        <v>662</v>
      </c>
      <c r="AD132" s="32">
        <f t="shared" si="43"/>
        <v>43189</v>
      </c>
      <c r="AE132" s="32">
        <f t="shared" si="44"/>
        <v>142875</v>
      </c>
      <c r="AF132" s="32">
        <f t="shared" si="48"/>
        <v>46537</v>
      </c>
      <c r="AG132" s="37">
        <f t="shared" si="45"/>
        <v>7.8</v>
      </c>
      <c r="AH132" s="32">
        <f t="shared" si="46"/>
        <v>195720</v>
      </c>
      <c r="AI132" s="37">
        <f t="shared" si="47"/>
        <v>37</v>
      </c>
    </row>
    <row r="133" spans="1:35" s="605" customFormat="1" ht="19.5" hidden="1" customHeight="1">
      <c r="A133" s="611" t="s">
        <v>49</v>
      </c>
      <c r="B133" s="608">
        <v>22456</v>
      </c>
      <c r="C133" s="608">
        <v>99789</v>
      </c>
      <c r="D133" s="608">
        <v>25231</v>
      </c>
      <c r="E133" s="608">
        <v>108662</v>
      </c>
      <c r="F133" s="608">
        <v>29</v>
      </c>
      <c r="G133" s="608">
        <v>948</v>
      </c>
      <c r="H133" s="608">
        <v>27</v>
      </c>
      <c r="I133" s="608">
        <v>766</v>
      </c>
      <c r="J133" s="608">
        <v>6254</v>
      </c>
      <c r="K133" s="608">
        <v>21594</v>
      </c>
      <c r="L133" s="608">
        <v>5880</v>
      </c>
      <c r="M133" s="608">
        <v>23658</v>
      </c>
      <c r="N133" s="608">
        <v>1343</v>
      </c>
      <c r="O133" s="608">
        <v>2662</v>
      </c>
      <c r="P133" s="608">
        <v>1516</v>
      </c>
      <c r="Q133" s="608">
        <v>3253</v>
      </c>
      <c r="R133" s="608">
        <v>6770</v>
      </c>
      <c r="S133" s="608">
        <v>16098</v>
      </c>
      <c r="T133" s="608">
        <v>7720</v>
      </c>
      <c r="U133" s="608">
        <v>21641</v>
      </c>
      <c r="V133" s="608">
        <v>8</v>
      </c>
      <c r="W133" s="608">
        <v>159</v>
      </c>
      <c r="X133" s="608">
        <v>15</v>
      </c>
      <c r="Y133" s="608">
        <v>349</v>
      </c>
      <c r="Z133" s="608">
        <v>671</v>
      </c>
      <c r="AA133" s="608">
        <v>4483</v>
      </c>
      <c r="AB133" s="608">
        <v>34</v>
      </c>
      <c r="AC133" s="608">
        <v>1658</v>
      </c>
      <c r="AD133" s="32">
        <f t="shared" si="43"/>
        <v>37531</v>
      </c>
      <c r="AE133" s="32">
        <f t="shared" si="44"/>
        <v>145733</v>
      </c>
      <c r="AF133" s="32">
        <f t="shared" si="48"/>
        <v>40423</v>
      </c>
      <c r="AG133" s="37">
        <f t="shared" si="45"/>
        <v>7.7</v>
      </c>
      <c r="AH133" s="32">
        <f t="shared" si="46"/>
        <v>159987</v>
      </c>
      <c r="AI133" s="37">
        <f t="shared" si="47"/>
        <v>9.8000000000000007</v>
      </c>
    </row>
    <row r="134" spans="1:35" s="605" customFormat="1" ht="19.5" hidden="1" customHeight="1">
      <c r="A134" s="611" t="s">
        <v>47</v>
      </c>
      <c r="B134" s="608">
        <v>8652</v>
      </c>
      <c r="C134" s="608">
        <v>58543</v>
      </c>
      <c r="D134" s="608">
        <v>7925</v>
      </c>
      <c r="E134" s="608">
        <v>77763</v>
      </c>
      <c r="F134" s="608">
        <v>2046</v>
      </c>
      <c r="G134" s="608">
        <v>12228</v>
      </c>
      <c r="H134" s="608">
        <v>2767</v>
      </c>
      <c r="I134" s="608">
        <v>16075</v>
      </c>
      <c r="J134" s="608">
        <v>23428</v>
      </c>
      <c r="K134" s="608">
        <v>94192</v>
      </c>
      <c r="L134" s="608">
        <v>25939</v>
      </c>
      <c r="M134" s="608">
        <v>117451</v>
      </c>
      <c r="N134" s="608">
        <v>2739</v>
      </c>
      <c r="O134" s="608">
        <v>5418</v>
      </c>
      <c r="P134" s="608">
        <v>1913</v>
      </c>
      <c r="Q134" s="608">
        <v>4206</v>
      </c>
      <c r="R134" s="608">
        <v>676</v>
      </c>
      <c r="S134" s="608">
        <v>1739</v>
      </c>
      <c r="T134" s="608">
        <v>654</v>
      </c>
      <c r="U134" s="608">
        <v>2121</v>
      </c>
      <c r="V134" s="608">
        <v>71</v>
      </c>
      <c r="W134" s="608">
        <v>798</v>
      </c>
      <c r="X134" s="608">
        <v>16</v>
      </c>
      <c r="Y134" s="608">
        <v>776</v>
      </c>
      <c r="Z134" s="608">
        <v>581</v>
      </c>
      <c r="AA134" s="608">
        <v>13175</v>
      </c>
      <c r="AB134" s="608">
        <v>572</v>
      </c>
      <c r="AC134" s="608">
        <v>8726</v>
      </c>
      <c r="AD134" s="32">
        <f t="shared" si="43"/>
        <v>38193</v>
      </c>
      <c r="AE134" s="32">
        <f t="shared" si="44"/>
        <v>186093</v>
      </c>
      <c r="AF134" s="32">
        <f t="shared" si="48"/>
        <v>39786</v>
      </c>
      <c r="AG134" s="37">
        <f t="shared" si="45"/>
        <v>4.2</v>
      </c>
      <c r="AH134" s="32">
        <f t="shared" si="46"/>
        <v>227118</v>
      </c>
      <c r="AI134" s="37">
        <f t="shared" si="47"/>
        <v>22</v>
      </c>
    </row>
    <row r="135" spans="1:35" s="167" customFormat="1" ht="19.5" hidden="1" customHeight="1" thickTop="1">
      <c r="A135" s="610" t="s">
        <v>50</v>
      </c>
      <c r="B135" s="324">
        <v>11766</v>
      </c>
      <c r="C135" s="324">
        <v>97709</v>
      </c>
      <c r="D135" s="324">
        <v>6862</v>
      </c>
      <c r="E135" s="324">
        <v>91566</v>
      </c>
      <c r="F135" s="324">
        <v>13</v>
      </c>
      <c r="G135" s="324">
        <v>570</v>
      </c>
      <c r="H135" s="324">
        <v>100</v>
      </c>
      <c r="I135" s="324">
        <v>2134</v>
      </c>
      <c r="J135" s="324">
        <v>3940</v>
      </c>
      <c r="K135" s="324">
        <v>23439</v>
      </c>
      <c r="L135" s="324">
        <v>4983</v>
      </c>
      <c r="M135" s="324">
        <v>26095</v>
      </c>
      <c r="N135" s="324">
        <v>530</v>
      </c>
      <c r="O135" s="324">
        <v>1110</v>
      </c>
      <c r="P135" s="324">
        <v>726</v>
      </c>
      <c r="Q135" s="324">
        <v>1679</v>
      </c>
      <c r="R135" s="324">
        <v>16892</v>
      </c>
      <c r="S135" s="324">
        <v>34920</v>
      </c>
      <c r="T135" s="324">
        <v>23110</v>
      </c>
      <c r="U135" s="324">
        <v>64027</v>
      </c>
      <c r="V135" s="324">
        <v>51</v>
      </c>
      <c r="W135" s="324">
        <v>3320</v>
      </c>
      <c r="X135" s="324">
        <v>65</v>
      </c>
      <c r="Y135" s="324">
        <v>2734</v>
      </c>
      <c r="Z135" s="324">
        <v>147</v>
      </c>
      <c r="AA135" s="324">
        <v>4145</v>
      </c>
      <c r="AB135" s="324">
        <v>93</v>
      </c>
      <c r="AC135" s="324">
        <v>4585</v>
      </c>
      <c r="AD135" s="32">
        <f t="shared" si="43"/>
        <v>33339</v>
      </c>
      <c r="AE135" s="32">
        <f t="shared" si="44"/>
        <v>165213</v>
      </c>
      <c r="AF135" s="32">
        <f t="shared" si="48"/>
        <v>35939</v>
      </c>
      <c r="AG135" s="727">
        <f t="shared" si="45"/>
        <v>7.8</v>
      </c>
      <c r="AH135" s="32">
        <f t="shared" si="46"/>
        <v>192820</v>
      </c>
      <c r="AI135" s="727">
        <f t="shared" si="47"/>
        <v>16.7</v>
      </c>
    </row>
    <row r="136" spans="1:35" s="605" customFormat="1" ht="19.5" hidden="1" customHeight="1">
      <c r="A136" s="611" t="s">
        <v>51</v>
      </c>
      <c r="B136" s="608">
        <v>4091</v>
      </c>
      <c r="C136" s="608">
        <v>25073</v>
      </c>
      <c r="D136" s="608">
        <v>3055</v>
      </c>
      <c r="E136" s="608">
        <v>25199</v>
      </c>
      <c r="F136" s="608">
        <v>49</v>
      </c>
      <c r="G136" s="608">
        <v>629</v>
      </c>
      <c r="H136" s="608">
        <v>15</v>
      </c>
      <c r="I136" s="608">
        <v>649</v>
      </c>
      <c r="J136" s="608">
        <v>6512</v>
      </c>
      <c r="K136" s="608">
        <v>20534</v>
      </c>
      <c r="L136" s="608">
        <v>10043</v>
      </c>
      <c r="M136" s="608">
        <v>31969</v>
      </c>
      <c r="N136" s="608">
        <v>9124</v>
      </c>
      <c r="O136" s="608">
        <v>17954</v>
      </c>
      <c r="P136" s="608">
        <v>9536</v>
      </c>
      <c r="Q136" s="608">
        <v>20452</v>
      </c>
      <c r="R136" s="608">
        <v>14026</v>
      </c>
      <c r="S136" s="608">
        <v>32441</v>
      </c>
      <c r="T136" s="608">
        <v>12040</v>
      </c>
      <c r="U136" s="608">
        <v>34592</v>
      </c>
      <c r="V136" s="608">
        <v>12</v>
      </c>
      <c r="W136" s="608">
        <v>324</v>
      </c>
      <c r="X136" s="608">
        <v>16</v>
      </c>
      <c r="Y136" s="608">
        <v>354</v>
      </c>
      <c r="Z136" s="608">
        <v>0</v>
      </c>
      <c r="AA136" s="608">
        <v>11</v>
      </c>
      <c r="AB136" s="608">
        <v>3</v>
      </c>
      <c r="AC136" s="608">
        <v>157</v>
      </c>
      <c r="AD136" s="32">
        <f t="shared" si="43"/>
        <v>33814</v>
      </c>
      <c r="AE136" s="32">
        <f t="shared" si="44"/>
        <v>96966</v>
      </c>
      <c r="AF136" s="32">
        <f t="shared" si="48"/>
        <v>34708</v>
      </c>
      <c r="AG136" s="37">
        <f t="shared" si="45"/>
        <v>2.6</v>
      </c>
      <c r="AH136" s="32">
        <f t="shared" si="46"/>
        <v>113372</v>
      </c>
      <c r="AI136" s="37">
        <f t="shared" si="47"/>
        <v>16.899999999999999</v>
      </c>
    </row>
    <row r="137" spans="1:35" s="605" customFormat="1" ht="19.5" hidden="1" customHeight="1">
      <c r="A137" s="611" t="s">
        <v>54</v>
      </c>
      <c r="B137" s="608">
        <v>4747</v>
      </c>
      <c r="C137" s="608">
        <v>29958</v>
      </c>
      <c r="D137" s="608">
        <v>4669</v>
      </c>
      <c r="E137" s="608">
        <v>41062</v>
      </c>
      <c r="F137" s="608">
        <v>1</v>
      </c>
      <c r="G137" s="608">
        <v>17</v>
      </c>
      <c r="H137" s="608">
        <v>41</v>
      </c>
      <c r="I137" s="608">
        <v>729</v>
      </c>
      <c r="J137" s="608">
        <v>15534</v>
      </c>
      <c r="K137" s="608">
        <v>42754</v>
      </c>
      <c r="L137" s="608">
        <v>13083</v>
      </c>
      <c r="M137" s="608">
        <v>39045</v>
      </c>
      <c r="N137" s="608">
        <v>1114</v>
      </c>
      <c r="O137" s="608">
        <v>5443</v>
      </c>
      <c r="P137" s="608">
        <v>517</v>
      </c>
      <c r="Q137" s="608">
        <v>3119</v>
      </c>
      <c r="R137" s="608">
        <v>3108</v>
      </c>
      <c r="S137" s="608">
        <v>7516</v>
      </c>
      <c r="T137" s="608">
        <v>7951</v>
      </c>
      <c r="U137" s="608">
        <v>24258</v>
      </c>
      <c r="V137" s="608">
        <v>0</v>
      </c>
      <c r="W137" s="608">
        <v>0</v>
      </c>
      <c r="X137" s="608">
        <v>0</v>
      </c>
      <c r="Y137" s="608">
        <v>0</v>
      </c>
      <c r="Z137" s="608">
        <v>18</v>
      </c>
      <c r="AA137" s="608">
        <v>335</v>
      </c>
      <c r="AB137" s="608">
        <v>3</v>
      </c>
      <c r="AC137" s="608">
        <v>22</v>
      </c>
      <c r="AD137" s="32">
        <f t="shared" si="43"/>
        <v>24522</v>
      </c>
      <c r="AE137" s="32">
        <f t="shared" si="44"/>
        <v>86023</v>
      </c>
      <c r="AF137" s="32">
        <f t="shared" si="48"/>
        <v>26264</v>
      </c>
      <c r="AG137" s="37">
        <f t="shared" si="45"/>
        <v>7.1</v>
      </c>
      <c r="AH137" s="32">
        <f t="shared" si="46"/>
        <v>108235</v>
      </c>
      <c r="AI137" s="37">
        <f t="shared" si="47"/>
        <v>25.8</v>
      </c>
    </row>
    <row r="138" spans="1:35" s="605" customFormat="1" ht="19.5" hidden="1" customHeight="1">
      <c r="A138" s="611" t="s">
        <v>58</v>
      </c>
      <c r="B138" s="608">
        <v>601</v>
      </c>
      <c r="C138" s="608">
        <v>4109</v>
      </c>
      <c r="D138" s="608">
        <v>59</v>
      </c>
      <c r="E138" s="608">
        <v>877</v>
      </c>
      <c r="F138" s="608">
        <v>1</v>
      </c>
      <c r="G138" s="608">
        <v>10</v>
      </c>
      <c r="H138" s="608">
        <v>0</v>
      </c>
      <c r="I138" s="608">
        <v>18</v>
      </c>
      <c r="J138" s="608">
        <v>16203</v>
      </c>
      <c r="K138" s="608">
        <v>44550</v>
      </c>
      <c r="L138" s="608">
        <v>15461</v>
      </c>
      <c r="M138" s="608">
        <v>54951</v>
      </c>
      <c r="N138" s="608">
        <v>0</v>
      </c>
      <c r="O138" s="608">
        <v>0</v>
      </c>
      <c r="P138" s="608">
        <v>0</v>
      </c>
      <c r="Q138" s="608">
        <v>0</v>
      </c>
      <c r="R138" s="608">
        <v>13</v>
      </c>
      <c r="S138" s="608">
        <v>135</v>
      </c>
      <c r="T138" s="608">
        <v>27</v>
      </c>
      <c r="U138" s="608">
        <v>359</v>
      </c>
      <c r="V138" s="608">
        <v>1</v>
      </c>
      <c r="W138" s="608">
        <v>35</v>
      </c>
      <c r="X138" s="608">
        <v>1</v>
      </c>
      <c r="Y138" s="608">
        <v>58</v>
      </c>
      <c r="Z138" s="608">
        <v>0</v>
      </c>
      <c r="AA138" s="608">
        <v>31</v>
      </c>
      <c r="AB138" s="608">
        <v>0</v>
      </c>
      <c r="AC138" s="608">
        <v>36</v>
      </c>
      <c r="AD138" s="32">
        <f t="shared" si="43"/>
        <v>16819</v>
      </c>
      <c r="AE138" s="32">
        <f t="shared" si="44"/>
        <v>48870</v>
      </c>
      <c r="AF138" s="32">
        <f t="shared" si="48"/>
        <v>15548</v>
      </c>
      <c r="AG138" s="37">
        <f t="shared" si="45"/>
        <v>-7.6</v>
      </c>
      <c r="AH138" s="32">
        <f t="shared" si="46"/>
        <v>56299</v>
      </c>
      <c r="AI138" s="37">
        <f t="shared" si="47"/>
        <v>15.2</v>
      </c>
    </row>
    <row r="139" spans="1:35" s="605" customFormat="1" ht="19.5" hidden="1" customHeight="1">
      <c r="A139" s="611" t="s">
        <v>52</v>
      </c>
      <c r="B139" s="608">
        <v>11315</v>
      </c>
      <c r="C139" s="608">
        <v>68039</v>
      </c>
      <c r="D139" s="608">
        <v>13199</v>
      </c>
      <c r="E139" s="608">
        <v>110703</v>
      </c>
      <c r="F139" s="608">
        <v>39</v>
      </c>
      <c r="G139" s="608">
        <v>1274</v>
      </c>
      <c r="H139" s="608">
        <v>63</v>
      </c>
      <c r="I139" s="608">
        <v>2412</v>
      </c>
      <c r="J139" s="608">
        <v>3594</v>
      </c>
      <c r="K139" s="608">
        <v>16034</v>
      </c>
      <c r="L139" s="608">
        <v>2758</v>
      </c>
      <c r="M139" s="608">
        <v>11538</v>
      </c>
      <c r="N139" s="608">
        <v>5</v>
      </c>
      <c r="O139" s="608">
        <v>132</v>
      </c>
      <c r="P139" s="608">
        <v>173</v>
      </c>
      <c r="Q139" s="608">
        <v>355</v>
      </c>
      <c r="R139" s="608">
        <v>1008</v>
      </c>
      <c r="S139" s="608">
        <v>2412</v>
      </c>
      <c r="T139" s="608">
        <v>1861</v>
      </c>
      <c r="U139" s="608">
        <v>5503</v>
      </c>
      <c r="V139" s="608">
        <v>124</v>
      </c>
      <c r="W139" s="608">
        <v>2786</v>
      </c>
      <c r="X139" s="608">
        <v>146</v>
      </c>
      <c r="Y139" s="608">
        <v>5860</v>
      </c>
      <c r="Z139" s="608">
        <v>0</v>
      </c>
      <c r="AA139" s="608">
        <v>107</v>
      </c>
      <c r="AB139" s="608">
        <v>28</v>
      </c>
      <c r="AC139" s="608">
        <v>86</v>
      </c>
      <c r="AD139" s="32">
        <f t="shared" si="43"/>
        <v>16085</v>
      </c>
      <c r="AE139" s="32">
        <f t="shared" si="44"/>
        <v>90784</v>
      </c>
      <c r="AF139" s="32">
        <f t="shared" si="48"/>
        <v>18228</v>
      </c>
      <c r="AG139" s="37">
        <f t="shared" si="45"/>
        <v>13.3</v>
      </c>
      <c r="AH139" s="32">
        <f t="shared" si="46"/>
        <v>136457</v>
      </c>
      <c r="AI139" s="37">
        <f t="shared" si="47"/>
        <v>50.3</v>
      </c>
    </row>
    <row r="140" spans="1:35" s="605" customFormat="1" ht="19.5" hidden="1" customHeight="1">
      <c r="A140" s="611" t="s">
        <v>56</v>
      </c>
      <c r="B140" s="608">
        <v>655</v>
      </c>
      <c r="C140" s="608">
        <v>4915</v>
      </c>
      <c r="D140" s="608">
        <v>732</v>
      </c>
      <c r="E140" s="608">
        <v>6831</v>
      </c>
      <c r="F140" s="608">
        <v>5</v>
      </c>
      <c r="G140" s="608">
        <v>244</v>
      </c>
      <c r="H140" s="608">
        <v>5</v>
      </c>
      <c r="I140" s="608">
        <v>209</v>
      </c>
      <c r="J140" s="608">
        <v>8979</v>
      </c>
      <c r="K140" s="608">
        <v>20722</v>
      </c>
      <c r="L140" s="608">
        <v>2677</v>
      </c>
      <c r="M140" s="608">
        <v>7914</v>
      </c>
      <c r="N140" s="608">
        <v>16</v>
      </c>
      <c r="O140" s="608">
        <v>32</v>
      </c>
      <c r="P140" s="608">
        <v>0</v>
      </c>
      <c r="Q140" s="608">
        <v>0</v>
      </c>
      <c r="R140" s="608">
        <v>5796</v>
      </c>
      <c r="S140" s="608">
        <v>13132</v>
      </c>
      <c r="T140" s="608">
        <v>4694</v>
      </c>
      <c r="U140" s="608">
        <v>13424</v>
      </c>
      <c r="V140" s="608">
        <v>0</v>
      </c>
      <c r="W140" s="608">
        <v>0</v>
      </c>
      <c r="X140" s="608">
        <v>0</v>
      </c>
      <c r="Y140" s="608">
        <v>1</v>
      </c>
      <c r="Z140" s="608">
        <v>0</v>
      </c>
      <c r="AA140" s="608">
        <v>13</v>
      </c>
      <c r="AB140" s="608">
        <v>0</v>
      </c>
      <c r="AC140" s="608">
        <v>2</v>
      </c>
      <c r="AD140" s="32">
        <f t="shared" si="43"/>
        <v>15451</v>
      </c>
      <c r="AE140" s="32">
        <f t="shared" si="44"/>
        <v>39058</v>
      </c>
      <c r="AF140" s="32">
        <f t="shared" si="48"/>
        <v>8108</v>
      </c>
      <c r="AG140" s="37">
        <f t="shared" si="45"/>
        <v>-47.5</v>
      </c>
      <c r="AH140" s="32">
        <f t="shared" si="46"/>
        <v>28381</v>
      </c>
      <c r="AI140" s="37">
        <f t="shared" si="47"/>
        <v>-27.3</v>
      </c>
    </row>
    <row r="141" spans="1:35" s="605" customFormat="1" ht="19.5" hidden="1" customHeight="1">
      <c r="A141" s="611" t="s">
        <v>53</v>
      </c>
      <c r="B141" s="608">
        <v>4885</v>
      </c>
      <c r="C141" s="608">
        <v>26225</v>
      </c>
      <c r="D141" s="608">
        <v>5213</v>
      </c>
      <c r="E141" s="608">
        <v>42031</v>
      </c>
      <c r="F141" s="608">
        <v>3</v>
      </c>
      <c r="G141" s="608">
        <v>171</v>
      </c>
      <c r="H141" s="608">
        <v>3</v>
      </c>
      <c r="I141" s="608">
        <v>285</v>
      </c>
      <c r="J141" s="608">
        <v>1253</v>
      </c>
      <c r="K141" s="608">
        <v>7743</v>
      </c>
      <c r="L141" s="608">
        <v>2427</v>
      </c>
      <c r="M141" s="608">
        <v>12308</v>
      </c>
      <c r="N141" s="608">
        <v>39</v>
      </c>
      <c r="O141" s="608">
        <v>116</v>
      </c>
      <c r="P141" s="608">
        <v>7</v>
      </c>
      <c r="Q141" s="608">
        <v>43</v>
      </c>
      <c r="R141" s="608">
        <v>6293</v>
      </c>
      <c r="S141" s="608">
        <v>14171</v>
      </c>
      <c r="T141" s="608">
        <v>9452</v>
      </c>
      <c r="U141" s="608">
        <v>27624</v>
      </c>
      <c r="V141" s="608">
        <v>0</v>
      </c>
      <c r="W141" s="608">
        <v>7</v>
      </c>
      <c r="X141" s="608">
        <v>1</v>
      </c>
      <c r="Y141" s="608">
        <v>79</v>
      </c>
      <c r="Z141" s="608">
        <v>482</v>
      </c>
      <c r="AA141" s="608">
        <v>2286</v>
      </c>
      <c r="AB141" s="608">
        <v>130</v>
      </c>
      <c r="AC141" s="608">
        <v>1358</v>
      </c>
      <c r="AD141" s="32">
        <f t="shared" si="43"/>
        <v>12955</v>
      </c>
      <c r="AE141" s="32">
        <f t="shared" si="44"/>
        <v>50719</v>
      </c>
      <c r="AF141" s="32">
        <f t="shared" si="48"/>
        <v>17233</v>
      </c>
      <c r="AG141" s="37">
        <f t="shared" si="45"/>
        <v>33</v>
      </c>
      <c r="AH141" s="32">
        <f t="shared" si="46"/>
        <v>83728</v>
      </c>
      <c r="AI141" s="37">
        <f t="shared" si="47"/>
        <v>65.099999999999994</v>
      </c>
    </row>
    <row r="142" spans="1:35" s="605" customFormat="1" ht="19.5" hidden="1" customHeight="1">
      <c r="A142" s="611" t="s">
        <v>57</v>
      </c>
      <c r="B142" s="608">
        <v>844</v>
      </c>
      <c r="C142" s="608">
        <v>6130</v>
      </c>
      <c r="D142" s="608">
        <v>395</v>
      </c>
      <c r="E142" s="608">
        <v>3940</v>
      </c>
      <c r="F142" s="608">
        <v>10</v>
      </c>
      <c r="G142" s="608">
        <v>904</v>
      </c>
      <c r="H142" s="608">
        <v>5</v>
      </c>
      <c r="I142" s="608">
        <v>224</v>
      </c>
      <c r="J142" s="608">
        <v>5568</v>
      </c>
      <c r="K142" s="608">
        <v>14279</v>
      </c>
      <c r="L142" s="608">
        <v>6648</v>
      </c>
      <c r="M142" s="608">
        <v>20365</v>
      </c>
      <c r="N142" s="608">
        <v>50</v>
      </c>
      <c r="O142" s="608">
        <v>89</v>
      </c>
      <c r="P142" s="608">
        <v>0</v>
      </c>
      <c r="Q142" s="608">
        <v>0</v>
      </c>
      <c r="R142" s="608">
        <v>5598</v>
      </c>
      <c r="S142" s="608">
        <v>12431</v>
      </c>
      <c r="T142" s="608">
        <v>3320</v>
      </c>
      <c r="U142" s="608">
        <v>9406</v>
      </c>
      <c r="V142" s="608">
        <v>69</v>
      </c>
      <c r="W142" s="608">
        <v>398</v>
      </c>
      <c r="X142" s="608">
        <v>115</v>
      </c>
      <c r="Y142" s="608">
        <v>820</v>
      </c>
      <c r="Z142" s="608">
        <v>0</v>
      </c>
      <c r="AA142" s="608">
        <v>29</v>
      </c>
      <c r="AB142" s="608">
        <v>0</v>
      </c>
      <c r="AC142" s="608">
        <v>6</v>
      </c>
      <c r="AD142" s="32">
        <f t="shared" si="43"/>
        <v>12139</v>
      </c>
      <c r="AE142" s="32">
        <f t="shared" si="44"/>
        <v>34260</v>
      </c>
      <c r="AF142" s="32">
        <f t="shared" si="48"/>
        <v>10483</v>
      </c>
      <c r="AG142" s="37">
        <f t="shared" si="45"/>
        <v>-13.6</v>
      </c>
      <c r="AH142" s="32">
        <f t="shared" si="46"/>
        <v>34761</v>
      </c>
      <c r="AI142" s="37">
        <f t="shared" si="47"/>
        <v>1.5</v>
      </c>
    </row>
    <row r="143" spans="1:35" s="605" customFormat="1" ht="19.5" hidden="1" customHeight="1">
      <c r="A143" s="611" t="s">
        <v>70</v>
      </c>
      <c r="B143" s="608">
        <v>730</v>
      </c>
      <c r="C143" s="608">
        <v>7207</v>
      </c>
      <c r="D143" s="608">
        <v>130</v>
      </c>
      <c r="E143" s="608">
        <v>1518</v>
      </c>
      <c r="F143" s="608">
        <v>0</v>
      </c>
      <c r="G143" s="608">
        <v>21</v>
      </c>
      <c r="H143" s="608">
        <v>0</v>
      </c>
      <c r="I143" s="608">
        <v>9</v>
      </c>
      <c r="J143" s="608">
        <v>8379</v>
      </c>
      <c r="K143" s="608">
        <v>19134</v>
      </c>
      <c r="L143" s="608">
        <v>9815</v>
      </c>
      <c r="M143" s="608">
        <v>27556</v>
      </c>
      <c r="N143" s="608">
        <v>293</v>
      </c>
      <c r="O143" s="608">
        <v>536</v>
      </c>
      <c r="P143" s="608">
        <v>0</v>
      </c>
      <c r="Q143" s="608">
        <v>0</v>
      </c>
      <c r="R143" s="608">
        <v>0</v>
      </c>
      <c r="S143" s="608">
        <v>7</v>
      </c>
      <c r="T143" s="608">
        <v>0</v>
      </c>
      <c r="U143" s="608">
        <v>1</v>
      </c>
      <c r="V143" s="608">
        <v>0</v>
      </c>
      <c r="W143" s="608">
        <v>0</v>
      </c>
      <c r="X143" s="608">
        <v>0</v>
      </c>
      <c r="Y143" s="608">
        <v>0</v>
      </c>
      <c r="Z143" s="608">
        <v>1</v>
      </c>
      <c r="AA143" s="608">
        <v>7</v>
      </c>
      <c r="AB143" s="608">
        <v>1</v>
      </c>
      <c r="AC143" s="608">
        <v>8</v>
      </c>
      <c r="AD143" s="32">
        <f t="shared" si="43"/>
        <v>9403</v>
      </c>
      <c r="AE143" s="32">
        <f t="shared" si="44"/>
        <v>26912</v>
      </c>
      <c r="AF143" s="32">
        <f t="shared" si="48"/>
        <v>9946</v>
      </c>
      <c r="AG143" s="37">
        <f t="shared" si="45"/>
        <v>5.8</v>
      </c>
      <c r="AH143" s="32">
        <f t="shared" si="46"/>
        <v>29092</v>
      </c>
      <c r="AI143" s="37">
        <f t="shared" si="47"/>
        <v>8.1</v>
      </c>
    </row>
    <row r="144" spans="1:35" s="605" customFormat="1" ht="19.5" hidden="1" customHeight="1">
      <c r="A144" s="611" t="s">
        <v>68</v>
      </c>
      <c r="B144" s="608">
        <v>937</v>
      </c>
      <c r="C144" s="608">
        <v>6481</v>
      </c>
      <c r="D144" s="608">
        <v>780</v>
      </c>
      <c r="E144" s="608">
        <v>7951</v>
      </c>
      <c r="F144" s="608">
        <v>1</v>
      </c>
      <c r="G144" s="608">
        <v>9</v>
      </c>
      <c r="H144" s="608">
        <v>1</v>
      </c>
      <c r="I144" s="608">
        <v>35</v>
      </c>
      <c r="J144" s="608">
        <v>9106</v>
      </c>
      <c r="K144" s="608">
        <v>22359</v>
      </c>
      <c r="L144" s="608">
        <v>8457</v>
      </c>
      <c r="M144" s="608">
        <v>24475</v>
      </c>
      <c r="N144" s="608">
        <v>0</v>
      </c>
      <c r="O144" s="608">
        <v>0</v>
      </c>
      <c r="P144" s="608">
        <v>0</v>
      </c>
      <c r="Q144" s="608">
        <v>0</v>
      </c>
      <c r="R144" s="608">
        <v>0</v>
      </c>
      <c r="S144" s="608">
        <v>1</v>
      </c>
      <c r="T144" s="608">
        <v>66</v>
      </c>
      <c r="U144" s="608">
        <v>184</v>
      </c>
      <c r="V144" s="608">
        <v>6</v>
      </c>
      <c r="W144" s="608">
        <v>83</v>
      </c>
      <c r="X144" s="608">
        <v>0</v>
      </c>
      <c r="Y144" s="608">
        <v>0</v>
      </c>
      <c r="Z144" s="608">
        <v>15</v>
      </c>
      <c r="AA144" s="608">
        <v>130</v>
      </c>
      <c r="AB144" s="608">
        <v>37</v>
      </c>
      <c r="AC144" s="608">
        <v>78</v>
      </c>
      <c r="AD144" s="32">
        <f t="shared" si="43"/>
        <v>10065</v>
      </c>
      <c r="AE144" s="32">
        <f t="shared" si="44"/>
        <v>29063</v>
      </c>
      <c r="AF144" s="32">
        <f t="shared" si="48"/>
        <v>9341</v>
      </c>
      <c r="AG144" s="37">
        <f t="shared" si="45"/>
        <v>-7.2</v>
      </c>
      <c r="AH144" s="32">
        <f t="shared" si="46"/>
        <v>32723</v>
      </c>
      <c r="AI144" s="37">
        <f t="shared" si="47"/>
        <v>12.6</v>
      </c>
    </row>
    <row r="145" spans="1:35" s="605" customFormat="1" ht="19.5" hidden="1" customHeight="1">
      <c r="A145" s="611" t="s">
        <v>60</v>
      </c>
      <c r="B145" s="608">
        <v>154</v>
      </c>
      <c r="C145" s="608">
        <v>152</v>
      </c>
      <c r="D145" s="608">
        <v>106</v>
      </c>
      <c r="E145" s="608">
        <v>176</v>
      </c>
      <c r="F145" s="608">
        <v>0</v>
      </c>
      <c r="G145" s="608">
        <v>1</v>
      </c>
      <c r="H145" s="608">
        <v>0</v>
      </c>
      <c r="I145" s="608">
        <v>0</v>
      </c>
      <c r="J145" s="608">
        <v>4748</v>
      </c>
      <c r="K145" s="608">
        <v>11244</v>
      </c>
      <c r="L145" s="608">
        <v>2197</v>
      </c>
      <c r="M145" s="608">
        <v>6800</v>
      </c>
      <c r="N145" s="608">
        <v>1</v>
      </c>
      <c r="O145" s="608">
        <v>1</v>
      </c>
      <c r="P145" s="608">
        <v>0</v>
      </c>
      <c r="Q145" s="608">
        <v>0</v>
      </c>
      <c r="R145" s="608">
        <v>0</v>
      </c>
      <c r="S145" s="608">
        <v>0</v>
      </c>
      <c r="T145" s="608">
        <v>300</v>
      </c>
      <c r="U145" s="608">
        <v>942</v>
      </c>
      <c r="V145" s="608">
        <v>0</v>
      </c>
      <c r="W145" s="608">
        <v>0</v>
      </c>
      <c r="X145" s="608">
        <v>0</v>
      </c>
      <c r="Y145" s="608">
        <v>0</v>
      </c>
      <c r="Z145" s="608">
        <v>0</v>
      </c>
      <c r="AA145" s="608">
        <v>0</v>
      </c>
      <c r="AB145" s="608">
        <v>0</v>
      </c>
      <c r="AC145" s="608">
        <v>0</v>
      </c>
      <c r="AD145" s="32">
        <f t="shared" si="43"/>
        <v>4903</v>
      </c>
      <c r="AE145" s="32">
        <f t="shared" si="44"/>
        <v>11398</v>
      </c>
      <c r="AF145" s="32">
        <f t="shared" si="48"/>
        <v>2603</v>
      </c>
      <c r="AG145" s="37">
        <f t="shared" si="45"/>
        <v>-46.9</v>
      </c>
      <c r="AH145" s="32">
        <f t="shared" si="46"/>
        <v>7918</v>
      </c>
      <c r="AI145" s="37">
        <f t="shared" si="47"/>
        <v>-30.5</v>
      </c>
    </row>
    <row r="146" spans="1:35" s="605" customFormat="1" ht="19.5" hidden="1" customHeight="1">
      <c r="A146" s="611" t="s">
        <v>55</v>
      </c>
      <c r="B146" s="608">
        <v>1006</v>
      </c>
      <c r="C146" s="608">
        <v>5894</v>
      </c>
      <c r="D146" s="608">
        <v>601</v>
      </c>
      <c r="E146" s="608">
        <v>5168</v>
      </c>
      <c r="F146" s="608">
        <v>0</v>
      </c>
      <c r="G146" s="608">
        <v>0</v>
      </c>
      <c r="H146" s="608">
        <v>0</v>
      </c>
      <c r="I146" s="608">
        <v>0</v>
      </c>
      <c r="J146" s="608">
        <v>1834</v>
      </c>
      <c r="K146" s="608">
        <v>7381</v>
      </c>
      <c r="L146" s="608">
        <v>1214</v>
      </c>
      <c r="M146" s="608">
        <v>6138</v>
      </c>
      <c r="N146" s="608">
        <v>1914</v>
      </c>
      <c r="O146" s="608">
        <v>3733</v>
      </c>
      <c r="P146" s="608">
        <v>1005</v>
      </c>
      <c r="Q146" s="608">
        <v>2194</v>
      </c>
      <c r="R146" s="608">
        <v>5151</v>
      </c>
      <c r="S146" s="608">
        <v>12236</v>
      </c>
      <c r="T146" s="608">
        <v>2547</v>
      </c>
      <c r="U146" s="608">
        <v>7205</v>
      </c>
      <c r="V146" s="608">
        <v>0</v>
      </c>
      <c r="W146" s="608">
        <v>0</v>
      </c>
      <c r="X146" s="608">
        <v>0</v>
      </c>
      <c r="Y146" s="608">
        <v>0</v>
      </c>
      <c r="Z146" s="608">
        <v>0</v>
      </c>
      <c r="AA146" s="608">
        <v>0</v>
      </c>
      <c r="AB146" s="608">
        <v>1</v>
      </c>
      <c r="AC146" s="608">
        <v>27</v>
      </c>
      <c r="AD146" s="32">
        <f t="shared" si="43"/>
        <v>9905</v>
      </c>
      <c r="AE146" s="32">
        <f t="shared" si="44"/>
        <v>29244</v>
      </c>
      <c r="AF146" s="32">
        <f t="shared" si="48"/>
        <v>5368</v>
      </c>
      <c r="AG146" s="37">
        <f t="shared" si="45"/>
        <v>-45.8</v>
      </c>
      <c r="AH146" s="32">
        <f t="shared" si="46"/>
        <v>20732</v>
      </c>
      <c r="AI146" s="37">
        <f t="shared" si="47"/>
        <v>-29.1</v>
      </c>
    </row>
    <row r="147" spans="1:35" s="605" customFormat="1" ht="19.5" hidden="1" customHeight="1">
      <c r="A147" s="611" t="s">
        <v>421</v>
      </c>
      <c r="B147" s="608">
        <v>2062</v>
      </c>
      <c r="C147" s="608">
        <v>28009</v>
      </c>
      <c r="D147" s="608">
        <v>4456</v>
      </c>
      <c r="E147" s="608">
        <v>65363</v>
      </c>
      <c r="F147" s="608">
        <v>14</v>
      </c>
      <c r="G147" s="608">
        <v>931</v>
      </c>
      <c r="H147" s="608">
        <v>26</v>
      </c>
      <c r="I147" s="608">
        <v>1651</v>
      </c>
      <c r="J147" s="608">
        <v>2779</v>
      </c>
      <c r="K147" s="608">
        <v>21215</v>
      </c>
      <c r="L147" s="608">
        <v>5419</v>
      </c>
      <c r="M147" s="608">
        <v>37201</v>
      </c>
      <c r="N147" s="608">
        <v>3</v>
      </c>
      <c r="O147" s="608">
        <v>12</v>
      </c>
      <c r="P147" s="608">
        <v>4</v>
      </c>
      <c r="Q147" s="608">
        <v>17</v>
      </c>
      <c r="R147" s="608">
        <v>3</v>
      </c>
      <c r="S147" s="608">
        <v>109</v>
      </c>
      <c r="T147" s="608">
        <v>33</v>
      </c>
      <c r="U147" s="608">
        <v>189</v>
      </c>
      <c r="V147" s="608">
        <v>1</v>
      </c>
      <c r="W147" s="608">
        <v>28</v>
      </c>
      <c r="X147" s="608">
        <v>2</v>
      </c>
      <c r="Y147" s="608">
        <v>63</v>
      </c>
      <c r="Z147" s="608">
        <v>0</v>
      </c>
      <c r="AA147" s="608">
        <v>9</v>
      </c>
      <c r="AB147" s="608">
        <v>0</v>
      </c>
      <c r="AC147" s="608">
        <v>138</v>
      </c>
      <c r="AD147" s="32">
        <f t="shared" si="43"/>
        <v>4862</v>
      </c>
      <c r="AE147" s="32">
        <f t="shared" si="44"/>
        <v>50313</v>
      </c>
      <c r="AF147" s="32">
        <f t="shared" si="48"/>
        <v>9940</v>
      </c>
      <c r="AG147" s="37">
        <f t="shared" si="45"/>
        <v>104.4</v>
      </c>
      <c r="AH147" s="32">
        <f t="shared" si="46"/>
        <v>104622</v>
      </c>
      <c r="AI147" s="37">
        <f t="shared" si="47"/>
        <v>107.9</v>
      </c>
    </row>
    <row r="148" spans="1:35" s="605" customFormat="1" ht="19.5" hidden="1" customHeight="1">
      <c r="A148" s="611" t="s">
        <v>422</v>
      </c>
      <c r="B148" s="608">
        <v>1276</v>
      </c>
      <c r="C148" s="608">
        <v>14193</v>
      </c>
      <c r="D148" s="608">
        <v>2556</v>
      </c>
      <c r="E148" s="608">
        <v>33336</v>
      </c>
      <c r="F148" s="608">
        <v>1</v>
      </c>
      <c r="G148" s="608">
        <v>0</v>
      </c>
      <c r="H148" s="608">
        <v>0</v>
      </c>
      <c r="I148" s="608">
        <v>0</v>
      </c>
      <c r="J148" s="608">
        <v>2006</v>
      </c>
      <c r="K148" s="608">
        <v>9246</v>
      </c>
      <c r="L148" s="608">
        <v>4178</v>
      </c>
      <c r="M148" s="608">
        <v>20823</v>
      </c>
      <c r="N148" s="608">
        <v>0</v>
      </c>
      <c r="O148" s="608">
        <v>0</v>
      </c>
      <c r="P148" s="608">
        <v>0</v>
      </c>
      <c r="Q148" s="608">
        <v>0</v>
      </c>
      <c r="R148" s="608">
        <v>0</v>
      </c>
      <c r="S148" s="608">
        <v>0</v>
      </c>
      <c r="T148" s="608">
        <v>0</v>
      </c>
      <c r="U148" s="608">
        <v>0</v>
      </c>
      <c r="V148" s="608">
        <v>0</v>
      </c>
      <c r="W148" s="608">
        <v>1</v>
      </c>
      <c r="X148" s="608">
        <v>0</v>
      </c>
      <c r="Y148" s="608">
        <v>0</v>
      </c>
      <c r="Z148" s="608">
        <v>0</v>
      </c>
      <c r="AA148" s="608">
        <v>29</v>
      </c>
      <c r="AB148" s="608">
        <v>0</v>
      </c>
      <c r="AC148" s="608">
        <v>6</v>
      </c>
      <c r="AD148" s="32">
        <f t="shared" si="43"/>
        <v>3283</v>
      </c>
      <c r="AE148" s="32">
        <f t="shared" si="44"/>
        <v>23469</v>
      </c>
      <c r="AF148" s="32">
        <f t="shared" si="48"/>
        <v>6734</v>
      </c>
      <c r="AG148" s="37">
        <f t="shared" si="45"/>
        <v>105.1</v>
      </c>
      <c r="AH148" s="32">
        <f t="shared" si="46"/>
        <v>54165</v>
      </c>
      <c r="AI148" s="37">
        <f t="shared" si="47"/>
        <v>130.80000000000001</v>
      </c>
    </row>
    <row r="149" spans="1:35" s="605" customFormat="1" ht="19.5" hidden="1" customHeight="1">
      <c r="A149" s="611" t="s">
        <v>63</v>
      </c>
      <c r="B149" s="608">
        <v>92</v>
      </c>
      <c r="C149" s="608">
        <v>501</v>
      </c>
      <c r="D149" s="608">
        <v>53</v>
      </c>
      <c r="E149" s="608">
        <v>504</v>
      </c>
      <c r="F149" s="608">
        <v>6</v>
      </c>
      <c r="G149" s="608">
        <v>82</v>
      </c>
      <c r="H149" s="608">
        <v>1</v>
      </c>
      <c r="I149" s="608">
        <v>19</v>
      </c>
      <c r="J149" s="608">
        <v>2585</v>
      </c>
      <c r="K149" s="608">
        <v>6019</v>
      </c>
      <c r="L149" s="608">
        <v>2432</v>
      </c>
      <c r="M149" s="608">
        <v>6719</v>
      </c>
      <c r="N149" s="608">
        <v>0</v>
      </c>
      <c r="O149" s="608">
        <v>0</v>
      </c>
      <c r="P149" s="608">
        <v>205</v>
      </c>
      <c r="Q149" s="608">
        <v>438</v>
      </c>
      <c r="R149" s="608">
        <v>1242</v>
      </c>
      <c r="S149" s="608">
        <v>3045</v>
      </c>
      <c r="T149" s="608">
        <v>5153</v>
      </c>
      <c r="U149" s="608">
        <v>14405</v>
      </c>
      <c r="V149" s="608">
        <v>0</v>
      </c>
      <c r="W149" s="608">
        <v>0</v>
      </c>
      <c r="X149" s="608">
        <v>0</v>
      </c>
      <c r="Y149" s="608">
        <v>0</v>
      </c>
      <c r="Z149" s="608">
        <v>0</v>
      </c>
      <c r="AA149" s="608">
        <v>2</v>
      </c>
      <c r="AB149" s="608">
        <v>0</v>
      </c>
      <c r="AC149" s="608">
        <v>1</v>
      </c>
      <c r="AD149" s="32">
        <f t="shared" si="43"/>
        <v>3925</v>
      </c>
      <c r="AE149" s="32">
        <f t="shared" si="44"/>
        <v>9649</v>
      </c>
      <c r="AF149" s="32">
        <f t="shared" si="48"/>
        <v>7844</v>
      </c>
      <c r="AG149" s="37">
        <f t="shared" si="45"/>
        <v>99.8</v>
      </c>
      <c r="AH149" s="32">
        <f t="shared" si="46"/>
        <v>22086</v>
      </c>
      <c r="AI149" s="37">
        <f t="shared" si="47"/>
        <v>128.9</v>
      </c>
    </row>
    <row r="150" spans="1:35" s="605" customFormat="1" ht="19.5" hidden="1" customHeight="1">
      <c r="A150" s="611" t="s">
        <v>67</v>
      </c>
      <c r="B150" s="608">
        <v>500</v>
      </c>
      <c r="C150" s="608">
        <v>3932</v>
      </c>
      <c r="D150" s="608">
        <v>452</v>
      </c>
      <c r="E150" s="608">
        <v>4729</v>
      </c>
      <c r="F150" s="608">
        <v>0</v>
      </c>
      <c r="G150" s="608">
        <v>21</v>
      </c>
      <c r="H150" s="608">
        <v>0</v>
      </c>
      <c r="I150" s="608">
        <v>21</v>
      </c>
      <c r="J150" s="608">
        <v>2507</v>
      </c>
      <c r="K150" s="608">
        <v>6552</v>
      </c>
      <c r="L150" s="608">
        <v>1809</v>
      </c>
      <c r="M150" s="608">
        <v>6335</v>
      </c>
      <c r="N150" s="608">
        <v>0</v>
      </c>
      <c r="O150" s="608">
        <v>0</v>
      </c>
      <c r="P150" s="608">
        <v>0</v>
      </c>
      <c r="Q150" s="608">
        <v>0</v>
      </c>
      <c r="R150" s="608">
        <v>0</v>
      </c>
      <c r="S150" s="608">
        <v>0</v>
      </c>
      <c r="T150" s="608">
        <v>1</v>
      </c>
      <c r="U150" s="608">
        <v>2</v>
      </c>
      <c r="V150" s="608">
        <v>0</v>
      </c>
      <c r="W150" s="608">
        <v>0</v>
      </c>
      <c r="X150" s="608">
        <v>0</v>
      </c>
      <c r="Y150" s="608">
        <v>0</v>
      </c>
      <c r="Z150" s="608">
        <v>885</v>
      </c>
      <c r="AA150" s="608">
        <v>2203</v>
      </c>
      <c r="AB150" s="608">
        <v>129</v>
      </c>
      <c r="AC150" s="608">
        <v>318</v>
      </c>
      <c r="AD150" s="32">
        <f t="shared" si="43"/>
        <v>3892</v>
      </c>
      <c r="AE150" s="32">
        <f t="shared" si="44"/>
        <v>12708</v>
      </c>
      <c r="AF150" s="32">
        <f t="shared" si="48"/>
        <v>2391</v>
      </c>
      <c r="AG150" s="37">
        <f t="shared" si="45"/>
        <v>-38.6</v>
      </c>
      <c r="AH150" s="32">
        <f t="shared" si="46"/>
        <v>11405</v>
      </c>
      <c r="AI150" s="37">
        <f t="shared" si="47"/>
        <v>-10.3</v>
      </c>
    </row>
    <row r="151" spans="1:35" s="605" customFormat="1" ht="19.5" hidden="1" customHeight="1">
      <c r="A151" s="611" t="s">
        <v>77</v>
      </c>
      <c r="B151" s="608">
        <v>102</v>
      </c>
      <c r="C151" s="608">
        <v>463</v>
      </c>
      <c r="D151" s="608">
        <v>1278</v>
      </c>
      <c r="E151" s="608">
        <v>10031</v>
      </c>
      <c r="F151" s="608">
        <v>0</v>
      </c>
      <c r="G151" s="608">
        <v>0</v>
      </c>
      <c r="H151" s="608">
        <v>0</v>
      </c>
      <c r="I151" s="608">
        <v>0</v>
      </c>
      <c r="J151" s="608">
        <v>1835</v>
      </c>
      <c r="K151" s="608">
        <v>5003</v>
      </c>
      <c r="L151" s="608">
        <v>6226</v>
      </c>
      <c r="M151" s="608">
        <v>19869</v>
      </c>
      <c r="N151" s="608">
        <v>0</v>
      </c>
      <c r="O151" s="608">
        <v>0</v>
      </c>
      <c r="P151" s="608">
        <v>0</v>
      </c>
      <c r="Q151" s="608">
        <v>0</v>
      </c>
      <c r="R151" s="608">
        <v>0</v>
      </c>
      <c r="S151" s="608">
        <v>0</v>
      </c>
      <c r="T151" s="608">
        <v>0</v>
      </c>
      <c r="U151" s="608">
        <v>1</v>
      </c>
      <c r="V151" s="608">
        <v>0</v>
      </c>
      <c r="W151" s="608">
        <v>0</v>
      </c>
      <c r="X151" s="608">
        <v>0</v>
      </c>
      <c r="Y151" s="608">
        <v>0</v>
      </c>
      <c r="Z151" s="608">
        <v>0</v>
      </c>
      <c r="AA151" s="608">
        <v>1</v>
      </c>
      <c r="AB151" s="608">
        <v>0</v>
      </c>
      <c r="AC151" s="608">
        <v>5</v>
      </c>
      <c r="AD151" s="32">
        <f t="shared" si="43"/>
        <v>1937</v>
      </c>
      <c r="AE151" s="32">
        <f t="shared" si="44"/>
        <v>5467</v>
      </c>
      <c r="AF151" s="32">
        <f t="shared" si="48"/>
        <v>7504</v>
      </c>
      <c r="AG151" s="37">
        <f t="shared" si="45"/>
        <v>287.39999999999998</v>
      </c>
      <c r="AH151" s="32">
        <f t="shared" si="46"/>
        <v>29906</v>
      </c>
      <c r="AI151" s="37">
        <f t="shared" si="47"/>
        <v>447</v>
      </c>
    </row>
    <row r="152" spans="1:35" s="605" customFormat="1" ht="19.5" hidden="1" customHeight="1">
      <c r="A152" s="610" t="s">
        <v>510</v>
      </c>
      <c r="B152" s="608">
        <v>74</v>
      </c>
      <c r="C152" s="608">
        <v>524</v>
      </c>
      <c r="D152" s="608">
        <v>30</v>
      </c>
      <c r="E152" s="608">
        <v>253</v>
      </c>
      <c r="F152" s="608">
        <v>0</v>
      </c>
      <c r="G152" s="608">
        <v>0</v>
      </c>
      <c r="H152" s="608">
        <v>0</v>
      </c>
      <c r="I152" s="608">
        <v>0</v>
      </c>
      <c r="J152" s="608">
        <v>2247</v>
      </c>
      <c r="K152" s="608">
        <v>4909</v>
      </c>
      <c r="L152" s="608">
        <v>3683</v>
      </c>
      <c r="M152" s="608">
        <v>9573</v>
      </c>
      <c r="N152" s="608">
        <v>0</v>
      </c>
      <c r="O152" s="608">
        <v>0</v>
      </c>
      <c r="P152" s="608">
        <v>0</v>
      </c>
      <c r="Q152" s="608">
        <v>0</v>
      </c>
      <c r="R152" s="608">
        <v>90</v>
      </c>
      <c r="S152" s="608">
        <v>229</v>
      </c>
      <c r="T152" s="608">
        <v>0</v>
      </c>
      <c r="U152" s="608">
        <v>0</v>
      </c>
      <c r="V152" s="608">
        <v>0</v>
      </c>
      <c r="W152" s="608">
        <v>0</v>
      </c>
      <c r="X152" s="608">
        <v>0</v>
      </c>
      <c r="Y152" s="608">
        <v>0</v>
      </c>
      <c r="Z152" s="608">
        <v>0</v>
      </c>
      <c r="AA152" s="608">
        <v>0</v>
      </c>
      <c r="AB152" s="608">
        <v>0</v>
      </c>
      <c r="AC152" s="608">
        <v>2</v>
      </c>
      <c r="AD152" s="32">
        <f t="shared" si="43"/>
        <v>2411</v>
      </c>
      <c r="AE152" s="32">
        <f t="shared" si="44"/>
        <v>5662</v>
      </c>
      <c r="AF152" s="32">
        <f t="shared" si="48"/>
        <v>3713</v>
      </c>
      <c r="AG152" s="37">
        <f t="shared" si="45"/>
        <v>54</v>
      </c>
      <c r="AH152" s="32">
        <f t="shared" si="46"/>
        <v>9828</v>
      </c>
      <c r="AI152" s="37">
        <f t="shared" si="47"/>
        <v>73.599999999999994</v>
      </c>
    </row>
    <row r="153" spans="1:35" s="605" customFormat="1" ht="19.5" hidden="1" customHeight="1">
      <c r="A153" s="611" t="s">
        <v>81</v>
      </c>
      <c r="B153" s="608">
        <v>0</v>
      </c>
      <c r="C153" s="608">
        <v>0</v>
      </c>
      <c r="D153" s="608">
        <v>0</v>
      </c>
      <c r="E153" s="608">
        <v>0</v>
      </c>
      <c r="F153" s="608">
        <v>0</v>
      </c>
      <c r="G153" s="608">
        <v>0</v>
      </c>
      <c r="H153" s="608">
        <v>0</v>
      </c>
      <c r="I153" s="608">
        <v>0</v>
      </c>
      <c r="J153" s="608">
        <v>3469</v>
      </c>
      <c r="K153" s="608">
        <v>7491</v>
      </c>
      <c r="L153" s="608">
        <v>7500</v>
      </c>
      <c r="M153" s="608">
        <v>19753</v>
      </c>
      <c r="N153" s="608">
        <v>0</v>
      </c>
      <c r="O153" s="608">
        <v>0</v>
      </c>
      <c r="P153" s="608">
        <v>0</v>
      </c>
      <c r="Q153" s="608">
        <v>0</v>
      </c>
      <c r="R153" s="608">
        <v>0</v>
      </c>
      <c r="S153" s="608">
        <v>0</v>
      </c>
      <c r="T153" s="608">
        <v>21</v>
      </c>
      <c r="U153" s="608">
        <v>109</v>
      </c>
      <c r="V153" s="608">
        <v>0</v>
      </c>
      <c r="W153" s="608">
        <v>0</v>
      </c>
      <c r="X153" s="608">
        <v>0</v>
      </c>
      <c r="Y153" s="608">
        <v>0</v>
      </c>
      <c r="Z153" s="608">
        <v>0</v>
      </c>
      <c r="AA153" s="608">
        <v>0</v>
      </c>
      <c r="AB153" s="608">
        <v>0</v>
      </c>
      <c r="AC153" s="608">
        <v>0</v>
      </c>
      <c r="AD153" s="32">
        <f t="shared" si="43"/>
        <v>3469</v>
      </c>
      <c r="AE153" s="32">
        <f t="shared" si="44"/>
        <v>7491</v>
      </c>
      <c r="AF153" s="32">
        <f t="shared" si="48"/>
        <v>7521</v>
      </c>
      <c r="AG153" s="37">
        <f t="shared" si="45"/>
        <v>116.8</v>
      </c>
      <c r="AH153" s="32">
        <f t="shared" si="46"/>
        <v>19862</v>
      </c>
      <c r="AI153" s="37">
        <f t="shared" si="47"/>
        <v>165.1</v>
      </c>
    </row>
    <row r="154" spans="1:35" s="605" customFormat="1" ht="19.5" hidden="1" customHeight="1">
      <c r="A154" s="610" t="s">
        <v>59</v>
      </c>
      <c r="B154" s="608">
        <v>889</v>
      </c>
      <c r="C154" s="608">
        <v>6322</v>
      </c>
      <c r="D154" s="608">
        <v>1706</v>
      </c>
      <c r="E154" s="608">
        <v>14735</v>
      </c>
      <c r="F154" s="608">
        <v>53</v>
      </c>
      <c r="G154" s="608">
        <v>528</v>
      </c>
      <c r="H154" s="608">
        <v>45</v>
      </c>
      <c r="I154" s="608">
        <v>403</v>
      </c>
      <c r="J154" s="608">
        <v>1222</v>
      </c>
      <c r="K154" s="608">
        <v>6525</v>
      </c>
      <c r="L154" s="608">
        <v>964</v>
      </c>
      <c r="M154" s="608">
        <v>5044</v>
      </c>
      <c r="N154" s="608">
        <v>97</v>
      </c>
      <c r="O154" s="608">
        <v>134</v>
      </c>
      <c r="P154" s="608">
        <v>0</v>
      </c>
      <c r="Q154" s="608">
        <v>3</v>
      </c>
      <c r="R154" s="608">
        <v>625</v>
      </c>
      <c r="S154" s="608">
        <v>1533</v>
      </c>
      <c r="T154" s="608">
        <v>951</v>
      </c>
      <c r="U154" s="608">
        <v>2922</v>
      </c>
      <c r="V154" s="608">
        <v>0</v>
      </c>
      <c r="W154" s="608">
        <v>5</v>
      </c>
      <c r="X154" s="608">
        <v>0</v>
      </c>
      <c r="Y154" s="608">
        <v>2</v>
      </c>
      <c r="Z154" s="608">
        <v>247</v>
      </c>
      <c r="AA154" s="608">
        <v>595</v>
      </c>
      <c r="AB154" s="608">
        <v>228</v>
      </c>
      <c r="AC154" s="608">
        <v>659</v>
      </c>
      <c r="AD154" s="32">
        <f t="shared" si="43"/>
        <v>3133</v>
      </c>
      <c r="AE154" s="32">
        <f t="shared" si="44"/>
        <v>15642</v>
      </c>
      <c r="AF154" s="32">
        <f t="shared" si="48"/>
        <v>3894</v>
      </c>
      <c r="AG154" s="37">
        <f t="shared" si="45"/>
        <v>24.3</v>
      </c>
      <c r="AH154" s="32">
        <f t="shared" si="46"/>
        <v>23768</v>
      </c>
      <c r="AI154" s="37">
        <f t="shared" si="47"/>
        <v>51.9</v>
      </c>
    </row>
    <row r="155" spans="1:35" s="605" customFormat="1" ht="19.5" hidden="1" customHeight="1">
      <c r="A155" s="610" t="s">
        <v>506</v>
      </c>
      <c r="B155" s="608">
        <v>39</v>
      </c>
      <c r="C155" s="608">
        <v>331</v>
      </c>
      <c r="D155" s="608">
        <v>25</v>
      </c>
      <c r="E155" s="608">
        <v>213</v>
      </c>
      <c r="F155" s="608">
        <v>0</v>
      </c>
      <c r="G155" s="608">
        <v>0</v>
      </c>
      <c r="H155" s="608">
        <v>0</v>
      </c>
      <c r="I155" s="608">
        <v>0</v>
      </c>
      <c r="J155" s="608">
        <v>2680</v>
      </c>
      <c r="K155" s="608">
        <v>5888</v>
      </c>
      <c r="L155" s="608">
        <v>1327</v>
      </c>
      <c r="M155" s="608">
        <v>3326</v>
      </c>
      <c r="N155" s="608">
        <v>28</v>
      </c>
      <c r="O155" s="608">
        <v>76</v>
      </c>
      <c r="P155" s="608">
        <v>0</v>
      </c>
      <c r="Q155" s="608">
        <v>0</v>
      </c>
      <c r="R155" s="608">
        <v>489</v>
      </c>
      <c r="S155" s="608">
        <v>1120</v>
      </c>
      <c r="T155" s="608">
        <v>2</v>
      </c>
      <c r="U155" s="608">
        <v>15</v>
      </c>
      <c r="V155" s="608">
        <v>0</v>
      </c>
      <c r="W155" s="608">
        <v>0</v>
      </c>
      <c r="X155" s="608">
        <v>48</v>
      </c>
      <c r="Y155" s="608">
        <v>945</v>
      </c>
      <c r="Z155" s="608">
        <v>0</v>
      </c>
      <c r="AA155" s="608">
        <v>14</v>
      </c>
      <c r="AB155" s="608">
        <v>0</v>
      </c>
      <c r="AC155" s="608">
        <v>0</v>
      </c>
      <c r="AD155" s="32">
        <f t="shared" si="43"/>
        <v>3236</v>
      </c>
      <c r="AE155" s="32">
        <f t="shared" si="44"/>
        <v>7429</v>
      </c>
      <c r="AF155" s="32">
        <f t="shared" si="48"/>
        <v>1402</v>
      </c>
      <c r="AG155" s="37">
        <f t="shared" si="45"/>
        <v>-56.7</v>
      </c>
      <c r="AH155" s="32">
        <f t="shared" si="46"/>
        <v>4499</v>
      </c>
      <c r="AI155" s="37">
        <f t="shared" si="47"/>
        <v>-39.4</v>
      </c>
    </row>
    <row r="156" spans="1:35" s="605" customFormat="1" ht="19.5" hidden="1" customHeight="1">
      <c r="A156" s="611" t="s">
        <v>83</v>
      </c>
      <c r="B156" s="608">
        <v>683</v>
      </c>
      <c r="C156" s="608">
        <v>4230</v>
      </c>
      <c r="D156" s="608">
        <v>899</v>
      </c>
      <c r="E156" s="608">
        <v>7482</v>
      </c>
      <c r="F156" s="608">
        <v>0</v>
      </c>
      <c r="G156" s="608">
        <v>0</v>
      </c>
      <c r="H156" s="608">
        <v>0</v>
      </c>
      <c r="I156" s="608">
        <v>0</v>
      </c>
      <c r="J156" s="608">
        <v>1522</v>
      </c>
      <c r="K156" s="608">
        <v>3647</v>
      </c>
      <c r="L156" s="608">
        <v>1561</v>
      </c>
      <c r="M156" s="608">
        <v>4186</v>
      </c>
      <c r="N156" s="608">
        <v>0</v>
      </c>
      <c r="O156" s="608">
        <v>0</v>
      </c>
      <c r="P156" s="608">
        <v>0</v>
      </c>
      <c r="Q156" s="608">
        <v>0</v>
      </c>
      <c r="R156" s="608">
        <v>51</v>
      </c>
      <c r="S156" s="608">
        <v>118</v>
      </c>
      <c r="T156" s="608">
        <v>128</v>
      </c>
      <c r="U156" s="608">
        <v>383</v>
      </c>
      <c r="V156" s="608">
        <v>0</v>
      </c>
      <c r="W156" s="608">
        <v>0</v>
      </c>
      <c r="X156" s="608">
        <v>0</v>
      </c>
      <c r="Y156" s="608">
        <v>0</v>
      </c>
      <c r="Z156" s="608">
        <v>0</v>
      </c>
      <c r="AA156" s="608">
        <v>0</v>
      </c>
      <c r="AB156" s="608">
        <v>0</v>
      </c>
      <c r="AC156" s="608">
        <v>0</v>
      </c>
      <c r="AD156" s="32">
        <f t="shared" si="43"/>
        <v>2256</v>
      </c>
      <c r="AE156" s="32">
        <f t="shared" si="44"/>
        <v>7995</v>
      </c>
      <c r="AF156" s="32">
        <f t="shared" si="48"/>
        <v>2588</v>
      </c>
      <c r="AG156" s="37">
        <f t="shared" si="45"/>
        <v>14.7</v>
      </c>
      <c r="AH156" s="32">
        <f t="shared" si="46"/>
        <v>12051</v>
      </c>
      <c r="AI156" s="37">
        <f t="shared" si="47"/>
        <v>50.7</v>
      </c>
    </row>
    <row r="157" spans="1:35" s="605" customFormat="1" ht="19.5" hidden="1" customHeight="1">
      <c r="A157" s="611" t="s">
        <v>511</v>
      </c>
      <c r="B157" s="608">
        <v>0</v>
      </c>
      <c r="C157" s="608">
        <v>1</v>
      </c>
      <c r="D157" s="608">
        <v>0</v>
      </c>
      <c r="E157" s="608">
        <v>0</v>
      </c>
      <c r="F157" s="608">
        <v>0</v>
      </c>
      <c r="G157" s="608">
        <v>0</v>
      </c>
      <c r="H157" s="608">
        <v>0</v>
      </c>
      <c r="I157" s="608">
        <v>0</v>
      </c>
      <c r="J157" s="608">
        <v>588</v>
      </c>
      <c r="K157" s="608">
        <v>1155</v>
      </c>
      <c r="L157" s="608">
        <v>371</v>
      </c>
      <c r="M157" s="608">
        <v>1045</v>
      </c>
      <c r="N157" s="608">
        <v>150</v>
      </c>
      <c r="O157" s="608">
        <v>305</v>
      </c>
      <c r="P157" s="608">
        <v>0</v>
      </c>
      <c r="Q157" s="608">
        <v>0</v>
      </c>
      <c r="R157" s="608">
        <v>1006</v>
      </c>
      <c r="S157" s="608">
        <v>2114</v>
      </c>
      <c r="T157" s="608">
        <v>299</v>
      </c>
      <c r="U157" s="608">
        <v>854</v>
      </c>
      <c r="V157" s="608">
        <v>0</v>
      </c>
      <c r="W157" s="608">
        <v>0</v>
      </c>
      <c r="X157" s="608">
        <v>0</v>
      </c>
      <c r="Y157" s="608">
        <v>0</v>
      </c>
      <c r="Z157" s="608">
        <v>0</v>
      </c>
      <c r="AA157" s="608">
        <v>0</v>
      </c>
      <c r="AB157" s="608">
        <v>0</v>
      </c>
      <c r="AC157" s="608">
        <v>0</v>
      </c>
      <c r="AD157" s="32">
        <f t="shared" si="43"/>
        <v>1744</v>
      </c>
      <c r="AE157" s="32">
        <f t="shared" si="44"/>
        <v>3575</v>
      </c>
      <c r="AF157" s="32">
        <f t="shared" si="48"/>
        <v>670</v>
      </c>
      <c r="AG157" s="37">
        <f t="shared" si="45"/>
        <v>-61.6</v>
      </c>
      <c r="AH157" s="32">
        <f t="shared" si="46"/>
        <v>1899</v>
      </c>
      <c r="AI157" s="37">
        <f t="shared" si="47"/>
        <v>-46.9</v>
      </c>
    </row>
    <row r="158" spans="1:35" s="605" customFormat="1" ht="19.5" hidden="1" customHeight="1">
      <c r="A158" s="30" t="s">
        <v>71</v>
      </c>
      <c r="B158" s="33">
        <f t="shared" ref="B158:G158" si="49">B159-SUM(B128:B157)</f>
        <v>6180</v>
      </c>
      <c r="C158" s="33">
        <f t="shared" si="49"/>
        <v>50143</v>
      </c>
      <c r="D158" s="33">
        <f t="shared" si="49"/>
        <v>4641</v>
      </c>
      <c r="E158" s="33">
        <f t="shared" si="49"/>
        <v>51124</v>
      </c>
      <c r="F158" s="33">
        <f t="shared" si="49"/>
        <v>525</v>
      </c>
      <c r="G158" s="33">
        <f t="shared" si="49"/>
        <v>4265</v>
      </c>
      <c r="H158" s="33">
        <f t="shared" ref="H158:AC158" si="50">H159-SUM(H128:H157)</f>
        <v>373</v>
      </c>
      <c r="I158" s="33">
        <f t="shared" si="50"/>
        <v>4420</v>
      </c>
      <c r="J158" s="33">
        <f t="shared" si="50"/>
        <v>17011</v>
      </c>
      <c r="K158" s="33">
        <f t="shared" si="50"/>
        <v>68852</v>
      </c>
      <c r="L158" s="33">
        <f t="shared" si="50"/>
        <v>18555</v>
      </c>
      <c r="M158" s="33">
        <f t="shared" si="50"/>
        <v>75781</v>
      </c>
      <c r="N158" s="33">
        <f t="shared" si="50"/>
        <v>1693</v>
      </c>
      <c r="O158" s="33">
        <f t="shared" si="50"/>
        <v>3592</v>
      </c>
      <c r="P158" s="33">
        <f t="shared" si="50"/>
        <v>660</v>
      </c>
      <c r="Q158" s="33">
        <f t="shared" si="50"/>
        <v>1192</v>
      </c>
      <c r="R158" s="33">
        <f t="shared" si="50"/>
        <v>9375</v>
      </c>
      <c r="S158" s="33">
        <f t="shared" si="50"/>
        <v>22104</v>
      </c>
      <c r="T158" s="33">
        <f t="shared" si="50"/>
        <v>2882</v>
      </c>
      <c r="U158" s="33">
        <f t="shared" si="50"/>
        <v>8417</v>
      </c>
      <c r="V158" s="33">
        <f t="shared" si="50"/>
        <v>22</v>
      </c>
      <c r="W158" s="33">
        <f t="shared" si="50"/>
        <v>269</v>
      </c>
      <c r="X158" s="33">
        <f t="shared" si="50"/>
        <v>12</v>
      </c>
      <c r="Y158" s="33">
        <f t="shared" si="50"/>
        <v>244</v>
      </c>
      <c r="Z158" s="33">
        <f t="shared" si="50"/>
        <v>769</v>
      </c>
      <c r="AA158" s="33">
        <f t="shared" si="50"/>
        <v>11002</v>
      </c>
      <c r="AB158" s="33">
        <f t="shared" si="50"/>
        <v>655</v>
      </c>
      <c r="AC158" s="33">
        <f t="shared" si="50"/>
        <v>11278</v>
      </c>
      <c r="AD158" s="33">
        <f>AD159-SUM(AD128:AD157)</f>
        <v>35575</v>
      </c>
      <c r="AE158" s="33">
        <f>AE159-SUM(AE128:AE157)</f>
        <v>160227</v>
      </c>
      <c r="AF158" s="33">
        <f>AF159-SUM(AF128:AF157)</f>
        <v>27778</v>
      </c>
      <c r="AG158" s="37">
        <f t="shared" si="45"/>
        <v>-21.9</v>
      </c>
      <c r="AH158" s="33">
        <f>AH159-SUM(AH128:AH157)</f>
        <v>152456</v>
      </c>
      <c r="AI158" s="38">
        <f t="shared" si="47"/>
        <v>-4.8</v>
      </c>
    </row>
    <row r="159" spans="1:35" s="605" customFormat="1" ht="19.5" hidden="1" customHeight="1">
      <c r="A159" s="715" t="s">
        <v>72</v>
      </c>
      <c r="B159" s="609">
        <v>210510</v>
      </c>
      <c r="C159" s="609">
        <v>1400925</v>
      </c>
      <c r="D159" s="609">
        <v>254659</v>
      </c>
      <c r="E159" s="609">
        <v>2162808</v>
      </c>
      <c r="F159" s="609">
        <v>4905</v>
      </c>
      <c r="G159" s="368">
        <v>42266</v>
      </c>
      <c r="H159" s="609">
        <v>6201</v>
      </c>
      <c r="I159" s="609">
        <v>54434</v>
      </c>
      <c r="J159" s="609">
        <v>388897</v>
      </c>
      <c r="K159" s="609">
        <v>1180750</v>
      </c>
      <c r="L159" s="609">
        <v>415796</v>
      </c>
      <c r="M159" s="609">
        <v>1439224</v>
      </c>
      <c r="N159" s="609">
        <v>120032</v>
      </c>
      <c r="O159" s="609">
        <v>243068</v>
      </c>
      <c r="P159" s="609">
        <v>109023</v>
      </c>
      <c r="Q159" s="609">
        <v>240006</v>
      </c>
      <c r="R159" s="609">
        <v>209728</v>
      </c>
      <c r="S159" s="609">
        <v>467536</v>
      </c>
      <c r="T159" s="609">
        <v>203550</v>
      </c>
      <c r="U159" s="609">
        <v>582835</v>
      </c>
      <c r="V159" s="609">
        <v>599</v>
      </c>
      <c r="W159" s="609">
        <v>14231</v>
      </c>
      <c r="X159" s="609">
        <v>712</v>
      </c>
      <c r="Y159" s="609">
        <v>21058</v>
      </c>
      <c r="Z159" s="609">
        <v>8724</v>
      </c>
      <c r="AA159" s="368">
        <v>83521</v>
      </c>
      <c r="AB159" s="609">
        <v>5463</v>
      </c>
      <c r="AC159" s="609">
        <v>82342</v>
      </c>
      <c r="AD159" s="35">
        <f>SUM(B159+F159+J159+N159+R159+V159+Z159)</f>
        <v>943395</v>
      </c>
      <c r="AE159" s="35">
        <f>SUM(C159+G159+K159+O159+S159+W159+AA159)</f>
        <v>3432297</v>
      </c>
      <c r="AF159" s="35">
        <f>SUM(D159+H159+L159+P159+T159+X159+AB159)</f>
        <v>995404</v>
      </c>
      <c r="AG159" s="220">
        <f t="shared" si="45"/>
        <v>5.5</v>
      </c>
      <c r="AH159" s="35">
        <f>SUM(E159+I159+M159+Q159+U159+Y159+AC159)</f>
        <v>4582707</v>
      </c>
      <c r="AI159" s="38">
        <f t="shared" si="47"/>
        <v>33.5</v>
      </c>
    </row>
    <row r="160" spans="1:35" hidden="1"/>
    <row r="161" spans="1:35" s="605" customFormat="1" ht="22.5" customHeight="1">
      <c r="A161" s="736" t="s">
        <v>610</v>
      </c>
      <c r="B161" s="736"/>
      <c r="C161" s="736"/>
      <c r="D161" s="736"/>
      <c r="E161" s="736"/>
      <c r="F161" s="736"/>
      <c r="G161" s="736"/>
      <c r="H161" s="736"/>
      <c r="I161" s="736"/>
      <c r="J161" s="736"/>
      <c r="K161" s="736"/>
      <c r="L161" s="736"/>
      <c r="M161" s="736"/>
      <c r="N161" s="736"/>
      <c r="O161" s="736"/>
      <c r="P161" s="736"/>
      <c r="Q161" s="736"/>
      <c r="R161" s="736"/>
      <c r="S161" s="736"/>
      <c r="T161" s="736"/>
      <c r="U161" s="736"/>
      <c r="V161" s="736"/>
      <c r="W161" s="736"/>
      <c r="X161" s="736"/>
      <c r="Y161" s="736"/>
      <c r="Z161" s="736"/>
      <c r="AA161" s="736"/>
      <c r="AB161" s="736"/>
      <c r="AC161" s="736"/>
      <c r="AD161" s="736"/>
      <c r="AE161" s="736"/>
      <c r="AF161" s="736"/>
      <c r="AG161" s="736"/>
      <c r="AH161" s="736"/>
      <c r="AI161" s="736"/>
    </row>
    <row r="162" spans="1:35" s="605" customFormat="1" ht="16.5" customHeight="1">
      <c r="A162" s="20"/>
      <c r="B162" s="21"/>
      <c r="C162" s="21"/>
      <c r="D162" s="21"/>
      <c r="E162" s="21"/>
      <c r="F162" s="21"/>
      <c r="G162" s="2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2"/>
      <c r="S162" s="2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s="605" customFormat="1" ht="16.5" customHeight="1">
      <c r="A163" s="23"/>
      <c r="B163" s="24"/>
      <c r="C163" s="24"/>
      <c r="D163" s="24"/>
      <c r="E163" s="24"/>
      <c r="F163" s="24"/>
      <c r="G163" s="23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5"/>
      <c r="S163" s="25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6" t="s">
        <v>0</v>
      </c>
    </row>
    <row r="164" spans="1:35" s="605" customFormat="1" ht="21.75" customHeight="1">
      <c r="A164" s="758" t="s">
        <v>36</v>
      </c>
      <c r="B164" s="765" t="s">
        <v>611</v>
      </c>
      <c r="C164" s="766"/>
      <c r="D164" s="766"/>
      <c r="E164" s="767"/>
      <c r="F164" s="765" t="s">
        <v>612</v>
      </c>
      <c r="G164" s="766"/>
      <c r="H164" s="766"/>
      <c r="I164" s="767"/>
      <c r="J164" s="765" t="s">
        <v>613</v>
      </c>
      <c r="K164" s="766"/>
      <c r="L164" s="766"/>
      <c r="M164" s="767"/>
      <c r="N164" s="765" t="s">
        <v>614</v>
      </c>
      <c r="O164" s="766"/>
      <c r="P164" s="766"/>
      <c r="Q164" s="767"/>
      <c r="R164" s="765" t="s">
        <v>615</v>
      </c>
      <c r="S164" s="766"/>
      <c r="T164" s="766"/>
      <c r="U164" s="767"/>
      <c r="V164" s="765" t="s">
        <v>616</v>
      </c>
      <c r="W164" s="766"/>
      <c r="X164" s="766"/>
      <c r="Y164" s="767"/>
      <c r="Z164" s="765" t="s">
        <v>617</v>
      </c>
      <c r="AA164" s="766"/>
      <c r="AB164" s="766"/>
      <c r="AC164" s="767"/>
      <c r="AD164" s="765" t="s">
        <v>618</v>
      </c>
      <c r="AE164" s="766"/>
      <c r="AF164" s="766"/>
      <c r="AG164" s="766"/>
      <c r="AH164" s="766"/>
      <c r="AI164" s="767"/>
    </row>
    <row r="165" spans="1:35" s="605" customFormat="1" ht="21" customHeight="1">
      <c r="A165" s="836"/>
      <c r="B165" s="765" t="s">
        <v>431</v>
      </c>
      <c r="C165" s="767"/>
      <c r="D165" s="765" t="s">
        <v>503</v>
      </c>
      <c r="E165" s="767"/>
      <c r="F165" s="765" t="s">
        <v>431</v>
      </c>
      <c r="G165" s="767"/>
      <c r="H165" s="765" t="s">
        <v>503</v>
      </c>
      <c r="I165" s="767"/>
      <c r="J165" s="765" t="s">
        <v>431</v>
      </c>
      <c r="K165" s="767"/>
      <c r="L165" s="765" t="s">
        <v>503</v>
      </c>
      <c r="M165" s="767"/>
      <c r="N165" s="765" t="s">
        <v>431</v>
      </c>
      <c r="O165" s="767"/>
      <c r="P165" s="765" t="s">
        <v>503</v>
      </c>
      <c r="Q165" s="767"/>
      <c r="R165" s="765" t="s">
        <v>431</v>
      </c>
      <c r="S165" s="767"/>
      <c r="T165" s="765" t="s">
        <v>503</v>
      </c>
      <c r="U165" s="767"/>
      <c r="V165" s="765" t="s">
        <v>431</v>
      </c>
      <c r="W165" s="767"/>
      <c r="X165" s="765" t="s">
        <v>503</v>
      </c>
      <c r="Y165" s="767"/>
      <c r="Z165" s="765" t="s">
        <v>431</v>
      </c>
      <c r="AA165" s="767"/>
      <c r="AB165" s="765" t="s">
        <v>503</v>
      </c>
      <c r="AC165" s="767"/>
      <c r="AD165" s="765" t="s">
        <v>431</v>
      </c>
      <c r="AE165" s="767"/>
      <c r="AF165" s="765" t="s">
        <v>503</v>
      </c>
      <c r="AG165" s="766"/>
      <c r="AH165" s="766"/>
      <c r="AI165" s="767"/>
    </row>
    <row r="166" spans="1:35" s="605" customFormat="1">
      <c r="A166" s="836"/>
      <c r="B166" s="758" t="s">
        <v>37</v>
      </c>
      <c r="C166" s="758" t="s">
        <v>38</v>
      </c>
      <c r="D166" s="758" t="s">
        <v>39</v>
      </c>
      <c r="E166" s="758" t="s">
        <v>38</v>
      </c>
      <c r="F166" s="758" t="s">
        <v>40</v>
      </c>
      <c r="G166" s="758" t="s">
        <v>38</v>
      </c>
      <c r="H166" s="758" t="s">
        <v>39</v>
      </c>
      <c r="I166" s="758" t="s">
        <v>38</v>
      </c>
      <c r="J166" s="758" t="s">
        <v>37</v>
      </c>
      <c r="K166" s="758" t="s">
        <v>38</v>
      </c>
      <c r="L166" s="758" t="s">
        <v>39</v>
      </c>
      <c r="M166" s="758" t="s">
        <v>38</v>
      </c>
      <c r="N166" s="758" t="s">
        <v>37</v>
      </c>
      <c r="O166" s="758" t="s">
        <v>38</v>
      </c>
      <c r="P166" s="758" t="s">
        <v>39</v>
      </c>
      <c r="Q166" s="758" t="s">
        <v>38</v>
      </c>
      <c r="R166" s="758" t="s">
        <v>37</v>
      </c>
      <c r="S166" s="758" t="s">
        <v>38</v>
      </c>
      <c r="T166" s="758" t="s">
        <v>39</v>
      </c>
      <c r="U166" s="758" t="s">
        <v>38</v>
      </c>
      <c r="V166" s="758" t="s">
        <v>37</v>
      </c>
      <c r="W166" s="758" t="s">
        <v>38</v>
      </c>
      <c r="X166" s="758" t="s">
        <v>41</v>
      </c>
      <c r="Y166" s="758" t="s">
        <v>38</v>
      </c>
      <c r="Z166" s="758" t="s">
        <v>37</v>
      </c>
      <c r="AA166" s="758" t="s">
        <v>38</v>
      </c>
      <c r="AB166" s="758" t="s">
        <v>39</v>
      </c>
      <c r="AC166" s="758" t="s">
        <v>38</v>
      </c>
      <c r="AD166" s="758" t="s">
        <v>37</v>
      </c>
      <c r="AE166" s="758" t="s">
        <v>38</v>
      </c>
      <c r="AF166" s="772" t="s">
        <v>39</v>
      </c>
      <c r="AG166" s="27"/>
      <c r="AH166" s="772" t="s">
        <v>38</v>
      </c>
      <c r="AI166" s="27"/>
    </row>
    <row r="167" spans="1:35" s="605" customFormat="1" ht="17.25" thickBot="1">
      <c r="A167" s="835"/>
      <c r="B167" s="835"/>
      <c r="C167" s="835"/>
      <c r="D167" s="835"/>
      <c r="E167" s="835"/>
      <c r="F167" s="835"/>
      <c r="G167" s="835"/>
      <c r="H167" s="835"/>
      <c r="I167" s="835"/>
      <c r="J167" s="835"/>
      <c r="K167" s="835"/>
      <c r="L167" s="835"/>
      <c r="M167" s="835"/>
      <c r="N167" s="835"/>
      <c r="O167" s="835"/>
      <c r="P167" s="835"/>
      <c r="Q167" s="835"/>
      <c r="R167" s="835"/>
      <c r="S167" s="835"/>
      <c r="T167" s="835"/>
      <c r="U167" s="835"/>
      <c r="V167" s="835"/>
      <c r="W167" s="835"/>
      <c r="X167" s="835"/>
      <c r="Y167" s="835"/>
      <c r="Z167" s="835"/>
      <c r="AA167" s="835"/>
      <c r="AB167" s="835"/>
      <c r="AC167" s="835"/>
      <c r="AD167" s="835"/>
      <c r="AE167" s="835"/>
      <c r="AF167" s="834"/>
      <c r="AG167" s="28" t="s">
        <v>42</v>
      </c>
      <c r="AH167" s="834"/>
      <c r="AI167" s="28" t="s">
        <v>42</v>
      </c>
    </row>
    <row r="168" spans="1:35" s="605" customFormat="1" ht="19.5" customHeight="1" thickTop="1">
      <c r="A168" s="611" t="s">
        <v>43</v>
      </c>
      <c r="B168" s="608">
        <v>107259</v>
      </c>
      <c r="C168" s="608">
        <v>681108</v>
      </c>
      <c r="D168" s="608">
        <v>156144</v>
      </c>
      <c r="E168" s="608">
        <v>1287017</v>
      </c>
      <c r="F168" s="608">
        <v>1798</v>
      </c>
      <c r="G168" s="608">
        <v>12985</v>
      </c>
      <c r="H168" s="608">
        <v>2566</v>
      </c>
      <c r="I168" s="608">
        <v>19941</v>
      </c>
      <c r="J168" s="608">
        <v>115479</v>
      </c>
      <c r="K168" s="608">
        <v>297742</v>
      </c>
      <c r="L168" s="608">
        <v>125144</v>
      </c>
      <c r="M168" s="608">
        <v>394696</v>
      </c>
      <c r="N168" s="608">
        <v>7394</v>
      </c>
      <c r="O168" s="608">
        <v>13968</v>
      </c>
      <c r="P168" s="608">
        <v>507</v>
      </c>
      <c r="Q168" s="608">
        <v>1293</v>
      </c>
      <c r="R168" s="608">
        <v>48666</v>
      </c>
      <c r="S168" s="608">
        <v>99745</v>
      </c>
      <c r="T168" s="608">
        <v>42210</v>
      </c>
      <c r="U168" s="608">
        <v>121475</v>
      </c>
      <c r="V168" s="608">
        <v>112</v>
      </c>
      <c r="W168" s="608">
        <v>3454</v>
      </c>
      <c r="X168" s="608">
        <v>162</v>
      </c>
      <c r="Y168" s="608">
        <v>5741</v>
      </c>
      <c r="Z168" s="608">
        <v>3567</v>
      </c>
      <c r="AA168" s="608">
        <v>30151</v>
      </c>
      <c r="AB168" s="608">
        <v>1315</v>
      </c>
      <c r="AC168" s="608">
        <v>35373</v>
      </c>
      <c r="AD168" s="32">
        <f t="shared" ref="AD168:AD197" si="51">SUM(B168+F168+J168+N168+R168+V168+Z168)</f>
        <v>284275</v>
      </c>
      <c r="AE168" s="32">
        <f>SUM(C168+G168+K168+O168+S168+W168+AA168)</f>
        <v>1139153</v>
      </c>
      <c r="AF168" s="32">
        <f>SUM(D168+H168+L168+P168+T168+X168+AB168)</f>
        <v>328048</v>
      </c>
      <c r="AG168" s="37">
        <f>ROUND(((AF168/AD168-1)*100),1)</f>
        <v>15.4</v>
      </c>
      <c r="AH168" s="32">
        <f>SUM(E168+I168+M168+Q168+U168+Y168+AC168)</f>
        <v>1865536</v>
      </c>
      <c r="AI168" s="37">
        <f>ROUND(((AH168/AE168-1)*100),1)</f>
        <v>63.8</v>
      </c>
    </row>
    <row r="169" spans="1:35" s="605" customFormat="1" ht="19.5" customHeight="1">
      <c r="A169" s="611" t="s">
        <v>44</v>
      </c>
      <c r="B169" s="608">
        <v>25103</v>
      </c>
      <c r="C169" s="608">
        <v>189496</v>
      </c>
      <c r="D169" s="608">
        <v>25462</v>
      </c>
      <c r="E169" s="608">
        <v>269730</v>
      </c>
      <c r="F169" s="608">
        <v>111</v>
      </c>
      <c r="G169" s="608">
        <v>3665</v>
      </c>
      <c r="H169" s="608">
        <v>106</v>
      </c>
      <c r="I169" s="608">
        <v>3540</v>
      </c>
      <c r="J169" s="608">
        <v>90599</v>
      </c>
      <c r="K169" s="608">
        <v>239271</v>
      </c>
      <c r="L169" s="608">
        <v>92463</v>
      </c>
      <c r="M169" s="608">
        <v>281055</v>
      </c>
      <c r="N169" s="608">
        <v>41206</v>
      </c>
      <c r="O169" s="608">
        <v>82102</v>
      </c>
      <c r="P169" s="608">
        <v>54956</v>
      </c>
      <c r="Q169" s="608">
        <v>121767</v>
      </c>
      <c r="R169" s="608">
        <v>33414</v>
      </c>
      <c r="S169" s="608">
        <v>76756</v>
      </c>
      <c r="T169" s="608">
        <v>49478</v>
      </c>
      <c r="U169" s="608">
        <v>144347</v>
      </c>
      <c r="V169" s="608">
        <v>114</v>
      </c>
      <c r="W169" s="608">
        <v>1961</v>
      </c>
      <c r="X169" s="608">
        <v>134</v>
      </c>
      <c r="Y169" s="608">
        <v>3441</v>
      </c>
      <c r="Z169" s="608">
        <v>79</v>
      </c>
      <c r="AA169" s="608">
        <v>3324</v>
      </c>
      <c r="AB169" s="608">
        <v>46</v>
      </c>
      <c r="AC169" s="608">
        <v>2389</v>
      </c>
      <c r="AD169" s="32">
        <f t="shared" si="51"/>
        <v>190626</v>
      </c>
      <c r="AE169" s="32">
        <f t="shared" ref="AE169:AE197" si="52">SUM(C169+G169+K169+O169+S169+W169+AA169)</f>
        <v>596575</v>
      </c>
      <c r="AF169" s="32">
        <f>SUM(D169+H169+L169+P169+T169+X169+AB169)</f>
        <v>222645</v>
      </c>
      <c r="AG169" s="37">
        <f t="shared" ref="AG169:AG199" si="53">ROUND(((AF169/AD169-1)*100),1)</f>
        <v>16.8</v>
      </c>
      <c r="AH169" s="32">
        <f t="shared" ref="AH169:AH197" si="54">SUM(E169+I169+M169+Q169+U169+Y169+AC169)</f>
        <v>826269</v>
      </c>
      <c r="AI169" s="37">
        <f t="shared" ref="AI169:AI199" si="55">ROUND(((AH169/AE169-1)*100),1)</f>
        <v>38.5</v>
      </c>
    </row>
    <row r="170" spans="1:35" s="605" customFormat="1" ht="19.5" customHeight="1">
      <c r="A170" s="611" t="s">
        <v>46</v>
      </c>
      <c r="B170" s="608">
        <v>12903</v>
      </c>
      <c r="C170" s="608">
        <v>105348</v>
      </c>
      <c r="D170" s="608">
        <v>15341</v>
      </c>
      <c r="E170" s="608">
        <v>171350</v>
      </c>
      <c r="F170" s="608">
        <v>271</v>
      </c>
      <c r="G170" s="608">
        <v>2979</v>
      </c>
      <c r="H170" s="608">
        <v>87</v>
      </c>
      <c r="I170" s="608">
        <v>1870</v>
      </c>
      <c r="J170" s="608">
        <v>39037</v>
      </c>
      <c r="K170" s="608">
        <v>146678</v>
      </c>
      <c r="L170" s="608">
        <v>48187</v>
      </c>
      <c r="M170" s="608">
        <v>208330</v>
      </c>
      <c r="N170" s="608">
        <v>31488</v>
      </c>
      <c r="O170" s="608">
        <v>60397</v>
      </c>
      <c r="P170" s="608">
        <v>24995</v>
      </c>
      <c r="Q170" s="608">
        <v>54264</v>
      </c>
      <c r="R170" s="608">
        <v>39245</v>
      </c>
      <c r="S170" s="608">
        <v>77417</v>
      </c>
      <c r="T170" s="608">
        <v>31</v>
      </c>
      <c r="U170" s="608">
        <v>496</v>
      </c>
      <c r="V170" s="608">
        <v>4</v>
      </c>
      <c r="W170" s="608">
        <v>687</v>
      </c>
      <c r="X170" s="608">
        <v>19</v>
      </c>
      <c r="Y170" s="608">
        <v>947</v>
      </c>
      <c r="Z170" s="608">
        <v>1479</v>
      </c>
      <c r="AA170" s="608">
        <v>16580</v>
      </c>
      <c r="AB170" s="608">
        <v>1656</v>
      </c>
      <c r="AC170" s="608">
        <v>21874</v>
      </c>
      <c r="AD170" s="32">
        <f t="shared" si="51"/>
        <v>124427</v>
      </c>
      <c r="AE170" s="32">
        <f t="shared" si="52"/>
        <v>410086</v>
      </c>
      <c r="AF170" s="32">
        <f t="shared" ref="AF170:AF197" si="56">SUM(D170+H170+L170+P170+T170+X170+AB170)</f>
        <v>90316</v>
      </c>
      <c r="AG170" s="37">
        <f t="shared" si="53"/>
        <v>-27.4</v>
      </c>
      <c r="AH170" s="32">
        <f t="shared" si="54"/>
        <v>459131</v>
      </c>
      <c r="AI170" s="37">
        <f t="shared" si="55"/>
        <v>12</v>
      </c>
    </row>
    <row r="171" spans="1:35" s="605" customFormat="1" ht="19.5" customHeight="1">
      <c r="A171" s="611" t="s">
        <v>45</v>
      </c>
      <c r="B171" s="608">
        <v>4355</v>
      </c>
      <c r="C171" s="608">
        <v>26816</v>
      </c>
      <c r="D171" s="608">
        <v>5766</v>
      </c>
      <c r="E171" s="608">
        <v>46942</v>
      </c>
      <c r="F171" s="608">
        <v>306</v>
      </c>
      <c r="G171" s="608">
        <v>4395</v>
      </c>
      <c r="H171" s="608">
        <v>501</v>
      </c>
      <c r="I171" s="608">
        <v>5995</v>
      </c>
      <c r="J171" s="608">
        <v>25359</v>
      </c>
      <c r="K171" s="608">
        <v>66780</v>
      </c>
      <c r="L171" s="608">
        <v>32865</v>
      </c>
      <c r="M171" s="608">
        <v>97262</v>
      </c>
      <c r="N171" s="608">
        <v>28813</v>
      </c>
      <c r="O171" s="608">
        <v>58348</v>
      </c>
      <c r="P171" s="608">
        <v>27966</v>
      </c>
      <c r="Q171" s="608">
        <v>61861</v>
      </c>
      <c r="R171" s="608">
        <v>32738</v>
      </c>
      <c r="S171" s="608">
        <v>77288</v>
      </c>
      <c r="T171" s="608">
        <v>45858</v>
      </c>
      <c r="U171" s="608">
        <v>130538</v>
      </c>
      <c r="V171" s="608">
        <v>2</v>
      </c>
      <c r="W171" s="608">
        <v>50</v>
      </c>
      <c r="X171" s="608">
        <v>9</v>
      </c>
      <c r="Y171" s="608">
        <v>277</v>
      </c>
      <c r="Z171" s="608">
        <v>534</v>
      </c>
      <c r="AA171" s="608">
        <v>2200</v>
      </c>
      <c r="AB171" s="608">
        <v>1226</v>
      </c>
      <c r="AC171" s="608">
        <v>4403</v>
      </c>
      <c r="AD171" s="32">
        <f t="shared" si="51"/>
        <v>92107</v>
      </c>
      <c r="AE171" s="32">
        <f t="shared" si="52"/>
        <v>235877</v>
      </c>
      <c r="AF171" s="32">
        <f t="shared" si="56"/>
        <v>114191</v>
      </c>
      <c r="AG171" s="37">
        <f t="shared" si="53"/>
        <v>24</v>
      </c>
      <c r="AH171" s="32">
        <f t="shared" si="54"/>
        <v>347278</v>
      </c>
      <c r="AI171" s="37">
        <f t="shared" si="55"/>
        <v>47.2</v>
      </c>
    </row>
    <row r="172" spans="1:35" s="605" customFormat="1" ht="19.5" customHeight="1">
      <c r="A172" s="611" t="s">
        <v>48</v>
      </c>
      <c r="B172" s="608">
        <v>10676</v>
      </c>
      <c r="C172" s="608">
        <v>59992</v>
      </c>
      <c r="D172" s="608">
        <v>13851</v>
      </c>
      <c r="E172" s="608">
        <v>112882</v>
      </c>
      <c r="F172" s="608">
        <v>20</v>
      </c>
      <c r="G172" s="608">
        <v>311</v>
      </c>
      <c r="H172" s="608">
        <v>31</v>
      </c>
      <c r="I172" s="608">
        <v>384</v>
      </c>
      <c r="J172" s="608">
        <v>18582</v>
      </c>
      <c r="K172" s="608">
        <v>55745</v>
      </c>
      <c r="L172" s="608">
        <v>19985</v>
      </c>
      <c r="M172" s="608">
        <v>67530</v>
      </c>
      <c r="N172" s="608">
        <v>9200</v>
      </c>
      <c r="O172" s="608">
        <v>17954</v>
      </c>
      <c r="P172" s="608">
        <v>7825</v>
      </c>
      <c r="Q172" s="608">
        <v>17648</v>
      </c>
      <c r="R172" s="608">
        <v>11872</v>
      </c>
      <c r="S172" s="608">
        <v>28295</v>
      </c>
      <c r="T172" s="608">
        <v>15557</v>
      </c>
      <c r="U172" s="608">
        <v>45541</v>
      </c>
      <c r="V172" s="608">
        <v>38</v>
      </c>
      <c r="W172" s="608">
        <v>834</v>
      </c>
      <c r="X172" s="608">
        <v>30</v>
      </c>
      <c r="Y172" s="608">
        <v>972</v>
      </c>
      <c r="Z172" s="608">
        <v>130</v>
      </c>
      <c r="AA172" s="608">
        <v>963</v>
      </c>
      <c r="AB172" s="608">
        <v>83</v>
      </c>
      <c r="AC172" s="608">
        <v>823</v>
      </c>
      <c r="AD172" s="32">
        <f t="shared" si="51"/>
        <v>50518</v>
      </c>
      <c r="AE172" s="32">
        <f t="shared" si="52"/>
        <v>164094</v>
      </c>
      <c r="AF172" s="32">
        <f t="shared" si="56"/>
        <v>57362</v>
      </c>
      <c r="AG172" s="37">
        <f t="shared" si="53"/>
        <v>13.5</v>
      </c>
      <c r="AH172" s="32">
        <f t="shared" si="54"/>
        <v>245780</v>
      </c>
      <c r="AI172" s="37">
        <f t="shared" si="55"/>
        <v>49.8</v>
      </c>
    </row>
    <row r="173" spans="1:35" s="605" customFormat="1" ht="19.5" customHeight="1">
      <c r="A173" s="611" t="s">
        <v>49</v>
      </c>
      <c r="B173" s="608">
        <v>27380</v>
      </c>
      <c r="C173" s="608">
        <v>118090</v>
      </c>
      <c r="D173" s="608">
        <v>31600</v>
      </c>
      <c r="E173" s="608">
        <v>148345</v>
      </c>
      <c r="F173" s="608">
        <v>37</v>
      </c>
      <c r="G173" s="608">
        <v>1156</v>
      </c>
      <c r="H173" s="608">
        <v>33</v>
      </c>
      <c r="I173" s="608">
        <v>1020</v>
      </c>
      <c r="J173" s="608">
        <v>7230</v>
      </c>
      <c r="K173" s="608">
        <v>25155</v>
      </c>
      <c r="L173" s="608">
        <v>7653</v>
      </c>
      <c r="M173" s="608">
        <v>28531</v>
      </c>
      <c r="N173" s="608">
        <v>1443</v>
      </c>
      <c r="O173" s="608">
        <v>2845</v>
      </c>
      <c r="P173" s="608">
        <v>2038</v>
      </c>
      <c r="Q173" s="608">
        <v>4389</v>
      </c>
      <c r="R173" s="608">
        <v>6931</v>
      </c>
      <c r="S173" s="608">
        <v>16424</v>
      </c>
      <c r="T173" s="608">
        <v>10239</v>
      </c>
      <c r="U173" s="608">
        <v>29193</v>
      </c>
      <c r="V173" s="608">
        <v>10</v>
      </c>
      <c r="W173" s="608">
        <v>186</v>
      </c>
      <c r="X173" s="608">
        <v>18</v>
      </c>
      <c r="Y173" s="608">
        <v>422</v>
      </c>
      <c r="Z173" s="608">
        <v>672</v>
      </c>
      <c r="AA173" s="608">
        <v>4517</v>
      </c>
      <c r="AB173" s="608">
        <v>79</v>
      </c>
      <c r="AC173" s="608">
        <v>2322</v>
      </c>
      <c r="AD173" s="32">
        <f t="shared" si="51"/>
        <v>43703</v>
      </c>
      <c r="AE173" s="32">
        <f t="shared" si="52"/>
        <v>168373</v>
      </c>
      <c r="AF173" s="32">
        <f t="shared" si="56"/>
        <v>51660</v>
      </c>
      <c r="AG173" s="37">
        <f t="shared" si="53"/>
        <v>18.2</v>
      </c>
      <c r="AH173" s="32">
        <f t="shared" si="54"/>
        <v>214222</v>
      </c>
      <c r="AI173" s="37">
        <f t="shared" si="55"/>
        <v>27.2</v>
      </c>
    </row>
    <row r="174" spans="1:35" s="167" customFormat="1" ht="19.5" customHeight="1">
      <c r="A174" s="610" t="s">
        <v>47</v>
      </c>
      <c r="B174" s="324">
        <v>10311</v>
      </c>
      <c r="C174" s="324">
        <v>69654</v>
      </c>
      <c r="D174" s="608">
        <v>10040</v>
      </c>
      <c r="E174" s="608">
        <v>101118</v>
      </c>
      <c r="F174" s="324">
        <v>2660</v>
      </c>
      <c r="G174" s="324">
        <v>16162</v>
      </c>
      <c r="H174" s="608">
        <v>3555</v>
      </c>
      <c r="I174" s="608">
        <v>20575</v>
      </c>
      <c r="J174" s="324">
        <v>26975</v>
      </c>
      <c r="K174" s="324">
        <v>111299</v>
      </c>
      <c r="L174" s="608">
        <v>31708</v>
      </c>
      <c r="M174" s="608">
        <v>146217</v>
      </c>
      <c r="N174" s="324">
        <v>2747</v>
      </c>
      <c r="O174" s="324">
        <v>5522</v>
      </c>
      <c r="P174" s="608">
        <v>2118</v>
      </c>
      <c r="Q174" s="608">
        <v>4648</v>
      </c>
      <c r="R174" s="324">
        <v>898</v>
      </c>
      <c r="S174" s="324">
        <v>2278</v>
      </c>
      <c r="T174" s="608">
        <v>810</v>
      </c>
      <c r="U174" s="608">
        <v>2797</v>
      </c>
      <c r="V174" s="324">
        <v>72</v>
      </c>
      <c r="W174" s="324">
        <v>924</v>
      </c>
      <c r="X174" s="608">
        <v>22</v>
      </c>
      <c r="Y174" s="608">
        <v>1010</v>
      </c>
      <c r="Z174" s="324">
        <v>696</v>
      </c>
      <c r="AA174" s="324">
        <v>16306</v>
      </c>
      <c r="AB174" s="608">
        <v>764</v>
      </c>
      <c r="AC174" s="608">
        <v>13537</v>
      </c>
      <c r="AD174" s="32">
        <f t="shared" si="51"/>
        <v>44359</v>
      </c>
      <c r="AE174" s="32">
        <f t="shared" si="52"/>
        <v>222145</v>
      </c>
      <c r="AF174" s="32">
        <f t="shared" si="56"/>
        <v>49017</v>
      </c>
      <c r="AG174" s="727">
        <f t="shared" si="53"/>
        <v>10.5</v>
      </c>
      <c r="AH174" s="32">
        <f t="shared" si="54"/>
        <v>289902</v>
      </c>
      <c r="AI174" s="727">
        <f t="shared" si="55"/>
        <v>30.5</v>
      </c>
    </row>
    <row r="175" spans="1:35" s="167" customFormat="1" ht="19.5" customHeight="1">
      <c r="A175" s="610" t="s">
        <v>50</v>
      </c>
      <c r="B175" s="324">
        <v>13086</v>
      </c>
      <c r="C175" s="324">
        <v>112788</v>
      </c>
      <c r="D175" s="608">
        <v>14205</v>
      </c>
      <c r="E175" s="608">
        <v>175279</v>
      </c>
      <c r="F175" s="324">
        <v>18</v>
      </c>
      <c r="G175" s="324">
        <v>664</v>
      </c>
      <c r="H175" s="608">
        <v>104</v>
      </c>
      <c r="I175" s="608">
        <v>2290</v>
      </c>
      <c r="J175" s="324">
        <v>4898</v>
      </c>
      <c r="K175" s="324">
        <v>29161</v>
      </c>
      <c r="L175" s="608">
        <v>6423</v>
      </c>
      <c r="M175" s="608">
        <v>32138</v>
      </c>
      <c r="N175" s="324">
        <v>670</v>
      </c>
      <c r="O175" s="324">
        <v>1374</v>
      </c>
      <c r="P175" s="608">
        <v>1055</v>
      </c>
      <c r="Q175" s="608">
        <v>2515</v>
      </c>
      <c r="R175" s="324">
        <v>20841</v>
      </c>
      <c r="S175" s="324">
        <v>42846</v>
      </c>
      <c r="T175" s="608">
        <v>28831</v>
      </c>
      <c r="U175" s="608">
        <v>80227</v>
      </c>
      <c r="V175" s="324">
        <v>93</v>
      </c>
      <c r="W175" s="324">
        <v>4474</v>
      </c>
      <c r="X175" s="608">
        <v>82</v>
      </c>
      <c r="Y175" s="608">
        <v>3574</v>
      </c>
      <c r="Z175" s="324">
        <v>180</v>
      </c>
      <c r="AA175" s="324">
        <v>5113</v>
      </c>
      <c r="AB175" s="608">
        <v>164</v>
      </c>
      <c r="AC175" s="608">
        <v>5521</v>
      </c>
      <c r="AD175" s="32">
        <f t="shared" si="51"/>
        <v>39786</v>
      </c>
      <c r="AE175" s="32">
        <f t="shared" si="52"/>
        <v>196420</v>
      </c>
      <c r="AF175" s="32">
        <f t="shared" si="56"/>
        <v>50864</v>
      </c>
      <c r="AG175" s="727">
        <f t="shared" si="53"/>
        <v>27.8</v>
      </c>
      <c r="AH175" s="32">
        <f t="shared" si="54"/>
        <v>301544</v>
      </c>
      <c r="AI175" s="727">
        <f t="shared" si="55"/>
        <v>53.5</v>
      </c>
    </row>
    <row r="176" spans="1:35" s="167" customFormat="1" ht="19.5" customHeight="1">
      <c r="A176" s="610" t="s">
        <v>51</v>
      </c>
      <c r="B176" s="324">
        <v>4463</v>
      </c>
      <c r="C176" s="324">
        <v>27372</v>
      </c>
      <c r="D176" s="608">
        <v>4267</v>
      </c>
      <c r="E176" s="608">
        <v>36886</v>
      </c>
      <c r="F176" s="324">
        <v>49</v>
      </c>
      <c r="G176" s="324">
        <v>667</v>
      </c>
      <c r="H176" s="608">
        <v>15</v>
      </c>
      <c r="I176" s="608">
        <v>656</v>
      </c>
      <c r="J176" s="324">
        <v>7671</v>
      </c>
      <c r="K176" s="324">
        <v>24325</v>
      </c>
      <c r="L176" s="608">
        <v>13079</v>
      </c>
      <c r="M176" s="608">
        <v>41513</v>
      </c>
      <c r="N176" s="324">
        <v>10542</v>
      </c>
      <c r="O176" s="324">
        <v>20536</v>
      </c>
      <c r="P176" s="608">
        <v>11276</v>
      </c>
      <c r="Q176" s="608">
        <v>24212</v>
      </c>
      <c r="R176" s="324">
        <v>15044</v>
      </c>
      <c r="S176" s="324">
        <v>34619</v>
      </c>
      <c r="T176" s="608">
        <v>14803</v>
      </c>
      <c r="U176" s="608">
        <v>42889</v>
      </c>
      <c r="V176" s="324">
        <v>14</v>
      </c>
      <c r="W176" s="324">
        <v>373</v>
      </c>
      <c r="X176" s="608">
        <v>20</v>
      </c>
      <c r="Y176" s="608">
        <v>526</v>
      </c>
      <c r="Z176" s="324">
        <v>0</v>
      </c>
      <c r="AA176" s="324">
        <v>11</v>
      </c>
      <c r="AB176" s="608">
        <v>3</v>
      </c>
      <c r="AC176" s="608">
        <v>162</v>
      </c>
      <c r="AD176" s="32">
        <f t="shared" si="51"/>
        <v>37783</v>
      </c>
      <c r="AE176" s="32">
        <f t="shared" si="52"/>
        <v>107903</v>
      </c>
      <c r="AF176" s="32">
        <f t="shared" si="56"/>
        <v>43463</v>
      </c>
      <c r="AG176" s="727">
        <f t="shared" si="53"/>
        <v>15</v>
      </c>
      <c r="AH176" s="32">
        <f t="shared" si="54"/>
        <v>146844</v>
      </c>
      <c r="AI176" s="727">
        <f t="shared" si="55"/>
        <v>36.1</v>
      </c>
    </row>
    <row r="177" spans="1:35" s="167" customFormat="1" ht="19.5" customHeight="1">
      <c r="A177" s="610" t="s">
        <v>54</v>
      </c>
      <c r="B177" s="324">
        <v>5867</v>
      </c>
      <c r="C177" s="324">
        <v>36204</v>
      </c>
      <c r="D177" s="608">
        <v>5814</v>
      </c>
      <c r="E177" s="608">
        <v>52158</v>
      </c>
      <c r="F177" s="324">
        <v>3</v>
      </c>
      <c r="G177" s="324">
        <v>30</v>
      </c>
      <c r="H177" s="608">
        <v>41</v>
      </c>
      <c r="I177" s="608">
        <v>733</v>
      </c>
      <c r="J177" s="324">
        <v>19534</v>
      </c>
      <c r="K177" s="324">
        <v>53034</v>
      </c>
      <c r="L177" s="608">
        <v>15692</v>
      </c>
      <c r="M177" s="608">
        <v>47427</v>
      </c>
      <c r="N177" s="324">
        <v>1367</v>
      </c>
      <c r="O177" s="324">
        <v>6534</v>
      </c>
      <c r="P177" s="608">
        <v>602</v>
      </c>
      <c r="Q177" s="608">
        <v>3620</v>
      </c>
      <c r="R177" s="324">
        <v>4729</v>
      </c>
      <c r="S177" s="324">
        <v>11251</v>
      </c>
      <c r="T177" s="608">
        <v>10258</v>
      </c>
      <c r="U177" s="608">
        <v>31646</v>
      </c>
      <c r="V177" s="324">
        <v>0</v>
      </c>
      <c r="W177" s="324">
        <v>0</v>
      </c>
      <c r="X177" s="608">
        <v>0</v>
      </c>
      <c r="Y177" s="608">
        <v>0</v>
      </c>
      <c r="Z177" s="324">
        <v>19</v>
      </c>
      <c r="AA177" s="324">
        <v>414</v>
      </c>
      <c r="AB177" s="608">
        <v>14</v>
      </c>
      <c r="AC177" s="608">
        <v>126</v>
      </c>
      <c r="AD177" s="32">
        <f t="shared" si="51"/>
        <v>31519</v>
      </c>
      <c r="AE177" s="32">
        <f t="shared" si="52"/>
        <v>107467</v>
      </c>
      <c r="AF177" s="32">
        <f t="shared" si="56"/>
        <v>32421</v>
      </c>
      <c r="AG177" s="727">
        <f t="shared" si="53"/>
        <v>2.9</v>
      </c>
      <c r="AH177" s="32">
        <f t="shared" si="54"/>
        <v>135710</v>
      </c>
      <c r="AI177" s="727">
        <f t="shared" si="55"/>
        <v>26.3</v>
      </c>
    </row>
    <row r="178" spans="1:35" s="167" customFormat="1" ht="19.5" customHeight="1">
      <c r="A178" s="610" t="s">
        <v>58</v>
      </c>
      <c r="B178" s="324">
        <v>619</v>
      </c>
      <c r="C178" s="324">
        <v>4247</v>
      </c>
      <c r="D178" s="608">
        <v>93</v>
      </c>
      <c r="E178" s="608">
        <v>1282</v>
      </c>
      <c r="F178" s="324">
        <v>1</v>
      </c>
      <c r="G178" s="324">
        <v>10</v>
      </c>
      <c r="H178" s="608">
        <v>0</v>
      </c>
      <c r="I178" s="608">
        <v>18</v>
      </c>
      <c r="J178" s="324">
        <v>20021</v>
      </c>
      <c r="K178" s="324">
        <v>54083</v>
      </c>
      <c r="L178" s="608">
        <v>20527</v>
      </c>
      <c r="M178" s="608">
        <v>73874</v>
      </c>
      <c r="N178" s="324">
        <v>0</v>
      </c>
      <c r="O178" s="324">
        <v>0</v>
      </c>
      <c r="P178" s="608">
        <v>0</v>
      </c>
      <c r="Q178" s="608">
        <v>0</v>
      </c>
      <c r="R178" s="324">
        <v>18</v>
      </c>
      <c r="S178" s="324">
        <v>181</v>
      </c>
      <c r="T178" s="608">
        <v>34</v>
      </c>
      <c r="U178" s="608">
        <v>465</v>
      </c>
      <c r="V178" s="324">
        <v>1</v>
      </c>
      <c r="W178" s="324">
        <v>35</v>
      </c>
      <c r="X178" s="608">
        <v>1</v>
      </c>
      <c r="Y178" s="608">
        <v>58</v>
      </c>
      <c r="Z178" s="324">
        <v>0</v>
      </c>
      <c r="AA178" s="324">
        <v>36</v>
      </c>
      <c r="AB178" s="608">
        <v>0</v>
      </c>
      <c r="AC178" s="608">
        <v>43</v>
      </c>
      <c r="AD178" s="32">
        <f t="shared" si="51"/>
        <v>20660</v>
      </c>
      <c r="AE178" s="32">
        <f t="shared" si="52"/>
        <v>58592</v>
      </c>
      <c r="AF178" s="32">
        <f t="shared" si="56"/>
        <v>20655</v>
      </c>
      <c r="AG178" s="727">
        <f t="shared" si="53"/>
        <v>0</v>
      </c>
      <c r="AH178" s="32">
        <f t="shared" si="54"/>
        <v>75740</v>
      </c>
      <c r="AI178" s="727">
        <f t="shared" si="55"/>
        <v>29.3</v>
      </c>
    </row>
    <row r="179" spans="1:35" s="167" customFormat="1" ht="19.5" customHeight="1">
      <c r="A179" s="610" t="s">
        <v>52</v>
      </c>
      <c r="B179" s="324">
        <v>11790</v>
      </c>
      <c r="C179" s="324">
        <v>70754</v>
      </c>
      <c r="D179" s="608">
        <v>16349</v>
      </c>
      <c r="E179" s="608">
        <v>141158</v>
      </c>
      <c r="F179" s="324">
        <v>47</v>
      </c>
      <c r="G179" s="324">
        <v>1913</v>
      </c>
      <c r="H179" s="608">
        <v>82</v>
      </c>
      <c r="I179" s="608">
        <v>3554</v>
      </c>
      <c r="J179" s="324">
        <v>4071</v>
      </c>
      <c r="K179" s="324">
        <v>18682</v>
      </c>
      <c r="L179" s="608">
        <v>3640</v>
      </c>
      <c r="M179" s="608">
        <v>15709</v>
      </c>
      <c r="N179" s="324">
        <v>14</v>
      </c>
      <c r="O179" s="324">
        <v>383</v>
      </c>
      <c r="P179" s="608">
        <v>174</v>
      </c>
      <c r="Q179" s="608">
        <v>356</v>
      </c>
      <c r="R179" s="324">
        <v>1048</v>
      </c>
      <c r="S179" s="324">
        <v>2499</v>
      </c>
      <c r="T179" s="608">
        <v>2160</v>
      </c>
      <c r="U179" s="608">
        <v>6428</v>
      </c>
      <c r="V179" s="324">
        <v>126</v>
      </c>
      <c r="W179" s="324">
        <v>2931</v>
      </c>
      <c r="X179" s="608">
        <v>153</v>
      </c>
      <c r="Y179" s="608">
        <v>6246</v>
      </c>
      <c r="Z179" s="324">
        <v>0</v>
      </c>
      <c r="AA179" s="324">
        <v>108</v>
      </c>
      <c r="AB179" s="608">
        <v>71</v>
      </c>
      <c r="AC179" s="608">
        <v>323</v>
      </c>
      <c r="AD179" s="32">
        <f t="shared" si="51"/>
        <v>17096</v>
      </c>
      <c r="AE179" s="32">
        <f t="shared" si="52"/>
        <v>97270</v>
      </c>
      <c r="AF179" s="32">
        <f t="shared" si="56"/>
        <v>22629</v>
      </c>
      <c r="AG179" s="727">
        <f t="shared" si="53"/>
        <v>32.4</v>
      </c>
      <c r="AH179" s="32">
        <f t="shared" si="54"/>
        <v>173774</v>
      </c>
      <c r="AI179" s="727">
        <f t="shared" si="55"/>
        <v>78.7</v>
      </c>
    </row>
    <row r="180" spans="1:35" s="167" customFormat="1" ht="19.5" customHeight="1">
      <c r="A180" s="610" t="s">
        <v>56</v>
      </c>
      <c r="B180" s="324">
        <v>692</v>
      </c>
      <c r="C180" s="324">
        <v>5326</v>
      </c>
      <c r="D180" s="608">
        <v>833</v>
      </c>
      <c r="E180" s="608">
        <v>7888</v>
      </c>
      <c r="F180" s="324">
        <v>15</v>
      </c>
      <c r="G180" s="324">
        <v>286</v>
      </c>
      <c r="H180" s="608">
        <v>5</v>
      </c>
      <c r="I180" s="608">
        <v>209</v>
      </c>
      <c r="J180" s="324">
        <v>12323</v>
      </c>
      <c r="K180" s="324">
        <v>27187</v>
      </c>
      <c r="L180" s="608">
        <v>3001</v>
      </c>
      <c r="M180" s="608">
        <v>9789</v>
      </c>
      <c r="N180" s="324">
        <v>16</v>
      </c>
      <c r="O180" s="324">
        <v>32</v>
      </c>
      <c r="P180" s="608">
        <v>0</v>
      </c>
      <c r="Q180" s="608">
        <v>0</v>
      </c>
      <c r="R180" s="324">
        <v>6447</v>
      </c>
      <c r="S180" s="324">
        <v>14453</v>
      </c>
      <c r="T180" s="608">
        <v>4794</v>
      </c>
      <c r="U180" s="608">
        <v>13738</v>
      </c>
      <c r="V180" s="324">
        <v>0</v>
      </c>
      <c r="W180" s="324">
        <v>0</v>
      </c>
      <c r="X180" s="608">
        <v>0</v>
      </c>
      <c r="Y180" s="608">
        <v>1</v>
      </c>
      <c r="Z180" s="324">
        <v>0</v>
      </c>
      <c r="AA180" s="324">
        <v>13</v>
      </c>
      <c r="AB180" s="608">
        <v>1</v>
      </c>
      <c r="AC180" s="608">
        <v>12</v>
      </c>
      <c r="AD180" s="32">
        <f t="shared" si="51"/>
        <v>19493</v>
      </c>
      <c r="AE180" s="32">
        <f t="shared" si="52"/>
        <v>47297</v>
      </c>
      <c r="AF180" s="32">
        <f t="shared" si="56"/>
        <v>8634</v>
      </c>
      <c r="AG180" s="727">
        <f t="shared" si="53"/>
        <v>-55.7</v>
      </c>
      <c r="AH180" s="32">
        <f t="shared" si="54"/>
        <v>31637</v>
      </c>
      <c r="AI180" s="727">
        <f t="shared" si="55"/>
        <v>-33.1</v>
      </c>
    </row>
    <row r="181" spans="1:35" s="167" customFormat="1" ht="19.5" customHeight="1">
      <c r="A181" s="610" t="s">
        <v>53</v>
      </c>
      <c r="B181" s="324">
        <v>5913</v>
      </c>
      <c r="C181" s="324">
        <v>31746</v>
      </c>
      <c r="D181" s="608">
        <v>6578</v>
      </c>
      <c r="E181" s="608">
        <v>54000</v>
      </c>
      <c r="F181" s="324">
        <v>103</v>
      </c>
      <c r="G181" s="324">
        <v>497</v>
      </c>
      <c r="H181" s="608">
        <v>3</v>
      </c>
      <c r="I181" s="608">
        <v>303</v>
      </c>
      <c r="J181" s="324">
        <v>1588</v>
      </c>
      <c r="K181" s="324">
        <v>9911</v>
      </c>
      <c r="L181" s="608">
        <v>2954</v>
      </c>
      <c r="M181" s="608">
        <v>15043</v>
      </c>
      <c r="N181" s="324">
        <v>44</v>
      </c>
      <c r="O181" s="324">
        <v>136</v>
      </c>
      <c r="P181" s="608">
        <v>7</v>
      </c>
      <c r="Q181" s="608">
        <v>43</v>
      </c>
      <c r="R181" s="324">
        <v>7155</v>
      </c>
      <c r="S181" s="324">
        <v>15947</v>
      </c>
      <c r="T181" s="608">
        <v>12076</v>
      </c>
      <c r="U181" s="608">
        <v>35775</v>
      </c>
      <c r="V181" s="324">
        <v>1</v>
      </c>
      <c r="W181" s="324">
        <v>11</v>
      </c>
      <c r="X181" s="608">
        <v>1</v>
      </c>
      <c r="Y181" s="608">
        <v>79</v>
      </c>
      <c r="Z181" s="324">
        <v>606</v>
      </c>
      <c r="AA181" s="324">
        <v>2700</v>
      </c>
      <c r="AB181" s="608">
        <v>132</v>
      </c>
      <c r="AC181" s="608">
        <v>1854</v>
      </c>
      <c r="AD181" s="32">
        <f t="shared" si="51"/>
        <v>15410</v>
      </c>
      <c r="AE181" s="32">
        <f t="shared" si="52"/>
        <v>60948</v>
      </c>
      <c r="AF181" s="32">
        <f t="shared" si="56"/>
        <v>21751</v>
      </c>
      <c r="AG181" s="727">
        <f t="shared" si="53"/>
        <v>41.1</v>
      </c>
      <c r="AH181" s="32">
        <f t="shared" si="54"/>
        <v>107097</v>
      </c>
      <c r="AI181" s="727">
        <f t="shared" si="55"/>
        <v>75.7</v>
      </c>
    </row>
    <row r="182" spans="1:35" s="167" customFormat="1" ht="19.5" customHeight="1">
      <c r="A182" s="610" t="s">
        <v>57</v>
      </c>
      <c r="B182" s="324">
        <v>977</v>
      </c>
      <c r="C182" s="324">
        <v>7002</v>
      </c>
      <c r="D182" s="608">
        <v>501</v>
      </c>
      <c r="E182" s="608">
        <v>5160</v>
      </c>
      <c r="F182" s="324">
        <v>12</v>
      </c>
      <c r="G182" s="324">
        <v>1175</v>
      </c>
      <c r="H182" s="608">
        <v>5</v>
      </c>
      <c r="I182" s="608">
        <v>356</v>
      </c>
      <c r="J182" s="324">
        <v>7678</v>
      </c>
      <c r="K182" s="324">
        <v>19492</v>
      </c>
      <c r="L182" s="608">
        <v>8201</v>
      </c>
      <c r="M182" s="608">
        <v>25911</v>
      </c>
      <c r="N182" s="324">
        <v>50</v>
      </c>
      <c r="O182" s="324">
        <v>89</v>
      </c>
      <c r="P182" s="608">
        <v>0</v>
      </c>
      <c r="Q182" s="608">
        <v>0</v>
      </c>
      <c r="R182" s="324">
        <v>6681</v>
      </c>
      <c r="S182" s="324">
        <v>14714</v>
      </c>
      <c r="T182" s="608">
        <v>4047</v>
      </c>
      <c r="U182" s="608">
        <v>11564</v>
      </c>
      <c r="V182" s="324">
        <v>69</v>
      </c>
      <c r="W182" s="324">
        <v>398</v>
      </c>
      <c r="X182" s="608">
        <v>168</v>
      </c>
      <c r="Y182" s="608">
        <v>1111</v>
      </c>
      <c r="Z182" s="324">
        <v>0</v>
      </c>
      <c r="AA182" s="324">
        <v>29</v>
      </c>
      <c r="AB182" s="608">
        <v>3</v>
      </c>
      <c r="AC182" s="608">
        <v>11</v>
      </c>
      <c r="AD182" s="32">
        <f t="shared" si="51"/>
        <v>15467</v>
      </c>
      <c r="AE182" s="32">
        <f t="shared" si="52"/>
        <v>42899</v>
      </c>
      <c r="AF182" s="32">
        <f t="shared" si="56"/>
        <v>12925</v>
      </c>
      <c r="AG182" s="727">
        <f t="shared" si="53"/>
        <v>-16.399999999999999</v>
      </c>
      <c r="AH182" s="32">
        <f t="shared" si="54"/>
        <v>44113</v>
      </c>
      <c r="AI182" s="727">
        <f t="shared" si="55"/>
        <v>2.8</v>
      </c>
    </row>
    <row r="183" spans="1:35" s="167" customFormat="1" ht="19.5" customHeight="1">
      <c r="A183" s="610" t="s">
        <v>70</v>
      </c>
      <c r="B183" s="324">
        <v>779</v>
      </c>
      <c r="C183" s="324">
        <v>7623</v>
      </c>
      <c r="D183" s="608">
        <v>181</v>
      </c>
      <c r="E183" s="608">
        <v>2151</v>
      </c>
      <c r="F183" s="324">
        <v>1</v>
      </c>
      <c r="G183" s="324">
        <v>70</v>
      </c>
      <c r="H183" s="608">
        <v>0</v>
      </c>
      <c r="I183" s="608">
        <v>9</v>
      </c>
      <c r="J183" s="324">
        <v>12032</v>
      </c>
      <c r="K183" s="324">
        <v>26830</v>
      </c>
      <c r="L183" s="608">
        <v>13736</v>
      </c>
      <c r="M183" s="608">
        <v>40021</v>
      </c>
      <c r="N183" s="324">
        <v>293</v>
      </c>
      <c r="O183" s="324">
        <v>536</v>
      </c>
      <c r="P183" s="608">
        <v>0</v>
      </c>
      <c r="Q183" s="608">
        <v>0</v>
      </c>
      <c r="R183" s="324">
        <v>0</v>
      </c>
      <c r="S183" s="324">
        <v>7</v>
      </c>
      <c r="T183" s="608">
        <v>0</v>
      </c>
      <c r="U183" s="608">
        <v>1</v>
      </c>
      <c r="V183" s="324">
        <v>0</v>
      </c>
      <c r="W183" s="324">
        <v>0</v>
      </c>
      <c r="X183" s="608">
        <v>0</v>
      </c>
      <c r="Y183" s="608">
        <v>0</v>
      </c>
      <c r="Z183" s="324">
        <v>1</v>
      </c>
      <c r="AA183" s="324">
        <v>7</v>
      </c>
      <c r="AB183" s="608">
        <v>1</v>
      </c>
      <c r="AC183" s="608">
        <v>8</v>
      </c>
      <c r="AD183" s="32">
        <f t="shared" si="51"/>
        <v>13106</v>
      </c>
      <c r="AE183" s="32">
        <f t="shared" si="52"/>
        <v>35073</v>
      </c>
      <c r="AF183" s="32">
        <f t="shared" si="56"/>
        <v>13918</v>
      </c>
      <c r="AG183" s="727">
        <f t="shared" si="53"/>
        <v>6.2</v>
      </c>
      <c r="AH183" s="32">
        <f t="shared" si="54"/>
        <v>42190</v>
      </c>
      <c r="AI183" s="727">
        <f t="shared" si="55"/>
        <v>20.3</v>
      </c>
    </row>
    <row r="184" spans="1:35" s="167" customFormat="1" ht="19.5" customHeight="1">
      <c r="A184" s="610" t="s">
        <v>68</v>
      </c>
      <c r="B184" s="324">
        <v>1119</v>
      </c>
      <c r="C184" s="324">
        <v>7677</v>
      </c>
      <c r="D184" s="608">
        <v>974</v>
      </c>
      <c r="E184" s="608">
        <v>10265</v>
      </c>
      <c r="F184" s="324">
        <v>1</v>
      </c>
      <c r="G184" s="324">
        <v>9</v>
      </c>
      <c r="H184" s="608">
        <v>1</v>
      </c>
      <c r="I184" s="608">
        <v>39</v>
      </c>
      <c r="J184" s="324">
        <v>11179</v>
      </c>
      <c r="K184" s="324">
        <v>27154</v>
      </c>
      <c r="L184" s="608">
        <v>11600</v>
      </c>
      <c r="M184" s="608">
        <v>33982</v>
      </c>
      <c r="N184" s="324">
        <v>0</v>
      </c>
      <c r="O184" s="324">
        <v>0</v>
      </c>
      <c r="P184" s="608">
        <v>0</v>
      </c>
      <c r="Q184" s="608">
        <v>0</v>
      </c>
      <c r="R184" s="324">
        <v>0</v>
      </c>
      <c r="S184" s="324">
        <v>1</v>
      </c>
      <c r="T184" s="608">
        <v>66</v>
      </c>
      <c r="U184" s="608">
        <v>184</v>
      </c>
      <c r="V184" s="324">
        <v>6</v>
      </c>
      <c r="W184" s="324">
        <v>83</v>
      </c>
      <c r="X184" s="608">
        <v>0</v>
      </c>
      <c r="Y184" s="608">
        <v>0</v>
      </c>
      <c r="Z184" s="324">
        <v>16</v>
      </c>
      <c r="AA184" s="324">
        <v>176</v>
      </c>
      <c r="AB184" s="608">
        <v>37</v>
      </c>
      <c r="AC184" s="608">
        <v>78</v>
      </c>
      <c r="AD184" s="32">
        <f t="shared" si="51"/>
        <v>12321</v>
      </c>
      <c r="AE184" s="32">
        <f t="shared" si="52"/>
        <v>35100</v>
      </c>
      <c r="AF184" s="32">
        <f t="shared" si="56"/>
        <v>12678</v>
      </c>
      <c r="AG184" s="727">
        <f t="shared" si="53"/>
        <v>2.9</v>
      </c>
      <c r="AH184" s="32">
        <f t="shared" si="54"/>
        <v>44548</v>
      </c>
      <c r="AI184" s="727">
        <f t="shared" si="55"/>
        <v>26.9</v>
      </c>
    </row>
    <row r="185" spans="1:35" s="167" customFormat="1" ht="19.5" customHeight="1">
      <c r="A185" s="610" t="s">
        <v>60</v>
      </c>
      <c r="B185" s="324">
        <v>172</v>
      </c>
      <c r="C185" s="324">
        <v>175</v>
      </c>
      <c r="D185" s="608">
        <v>106</v>
      </c>
      <c r="E185" s="608">
        <v>176</v>
      </c>
      <c r="F185" s="324">
        <v>0</v>
      </c>
      <c r="G185" s="324">
        <v>1</v>
      </c>
      <c r="H185" s="608">
        <v>0</v>
      </c>
      <c r="I185" s="608">
        <v>0</v>
      </c>
      <c r="J185" s="324">
        <v>6061</v>
      </c>
      <c r="K185" s="324">
        <v>14084</v>
      </c>
      <c r="L185" s="608">
        <v>2465</v>
      </c>
      <c r="M185" s="608">
        <v>7642</v>
      </c>
      <c r="N185" s="324">
        <v>2</v>
      </c>
      <c r="O185" s="324">
        <v>7</v>
      </c>
      <c r="P185" s="608">
        <v>0</v>
      </c>
      <c r="Q185" s="608">
        <v>0</v>
      </c>
      <c r="R185" s="324">
        <v>0</v>
      </c>
      <c r="S185" s="324">
        <v>0</v>
      </c>
      <c r="T185" s="608">
        <v>300</v>
      </c>
      <c r="U185" s="608">
        <v>942</v>
      </c>
      <c r="V185" s="324">
        <v>0</v>
      </c>
      <c r="W185" s="324">
        <v>0</v>
      </c>
      <c r="X185" s="608">
        <v>0</v>
      </c>
      <c r="Y185" s="608">
        <v>0</v>
      </c>
      <c r="Z185" s="324">
        <v>0</v>
      </c>
      <c r="AA185" s="324">
        <v>0</v>
      </c>
      <c r="AB185" s="608">
        <v>0</v>
      </c>
      <c r="AC185" s="608">
        <v>0</v>
      </c>
      <c r="AD185" s="32">
        <f t="shared" si="51"/>
        <v>6235</v>
      </c>
      <c r="AE185" s="32">
        <f t="shared" si="52"/>
        <v>14267</v>
      </c>
      <c r="AF185" s="32">
        <f t="shared" si="56"/>
        <v>2871</v>
      </c>
      <c r="AG185" s="727">
        <f t="shared" si="53"/>
        <v>-54</v>
      </c>
      <c r="AH185" s="32">
        <f t="shared" si="54"/>
        <v>8760</v>
      </c>
      <c r="AI185" s="727">
        <f t="shared" si="55"/>
        <v>-38.6</v>
      </c>
    </row>
    <row r="186" spans="1:35" s="167" customFormat="1" ht="19.5" customHeight="1">
      <c r="A186" s="610" t="s">
        <v>55</v>
      </c>
      <c r="B186" s="324">
        <v>1206</v>
      </c>
      <c r="C186" s="324">
        <v>6980</v>
      </c>
      <c r="D186" s="608">
        <v>601</v>
      </c>
      <c r="E186" s="608">
        <v>5168</v>
      </c>
      <c r="F186" s="324">
        <v>0</v>
      </c>
      <c r="G186" s="324">
        <v>0</v>
      </c>
      <c r="H186" s="608">
        <v>0</v>
      </c>
      <c r="I186" s="608">
        <v>0</v>
      </c>
      <c r="J186" s="324">
        <v>2395</v>
      </c>
      <c r="K186" s="324">
        <v>9132</v>
      </c>
      <c r="L186" s="608">
        <v>1633</v>
      </c>
      <c r="M186" s="608">
        <v>7859</v>
      </c>
      <c r="N186" s="324">
        <v>2014</v>
      </c>
      <c r="O186" s="324">
        <v>3915</v>
      </c>
      <c r="P186" s="608">
        <v>1206</v>
      </c>
      <c r="Q186" s="608">
        <v>2678</v>
      </c>
      <c r="R186" s="324">
        <v>6098</v>
      </c>
      <c r="S186" s="324">
        <v>14351</v>
      </c>
      <c r="T186" s="608">
        <v>3374</v>
      </c>
      <c r="U186" s="608">
        <v>9611</v>
      </c>
      <c r="V186" s="324">
        <v>0</v>
      </c>
      <c r="W186" s="324">
        <v>0</v>
      </c>
      <c r="X186" s="608">
        <v>0</v>
      </c>
      <c r="Y186" s="608">
        <v>0</v>
      </c>
      <c r="Z186" s="324">
        <v>0</v>
      </c>
      <c r="AA186" s="324">
        <v>0</v>
      </c>
      <c r="AB186" s="608">
        <v>1</v>
      </c>
      <c r="AC186" s="608">
        <v>27</v>
      </c>
      <c r="AD186" s="32">
        <f t="shared" si="51"/>
        <v>11713</v>
      </c>
      <c r="AE186" s="32">
        <f t="shared" si="52"/>
        <v>34378</v>
      </c>
      <c r="AF186" s="32">
        <f t="shared" si="56"/>
        <v>6815</v>
      </c>
      <c r="AG186" s="727">
        <f t="shared" si="53"/>
        <v>-41.8</v>
      </c>
      <c r="AH186" s="32">
        <f t="shared" si="54"/>
        <v>25343</v>
      </c>
      <c r="AI186" s="727">
        <f t="shared" si="55"/>
        <v>-26.3</v>
      </c>
    </row>
    <row r="187" spans="1:35" s="167" customFormat="1" ht="19.5" customHeight="1">
      <c r="A187" s="610" t="s">
        <v>421</v>
      </c>
      <c r="B187" s="324">
        <v>2439</v>
      </c>
      <c r="C187" s="324">
        <v>32626</v>
      </c>
      <c r="D187" s="608">
        <v>5840</v>
      </c>
      <c r="E187" s="608">
        <v>87047</v>
      </c>
      <c r="F187" s="324">
        <v>17</v>
      </c>
      <c r="G187" s="324">
        <v>1177</v>
      </c>
      <c r="H187" s="608">
        <v>35</v>
      </c>
      <c r="I187" s="608">
        <v>2201</v>
      </c>
      <c r="J187" s="324">
        <v>3572</v>
      </c>
      <c r="K187" s="324">
        <v>27111</v>
      </c>
      <c r="L187" s="608">
        <v>6652</v>
      </c>
      <c r="M187" s="608">
        <v>46404</v>
      </c>
      <c r="N187" s="324">
        <v>3</v>
      </c>
      <c r="O187" s="324">
        <v>12</v>
      </c>
      <c r="P187" s="608">
        <v>4</v>
      </c>
      <c r="Q187" s="608">
        <v>17</v>
      </c>
      <c r="R187" s="324">
        <v>3</v>
      </c>
      <c r="S187" s="324">
        <v>111</v>
      </c>
      <c r="T187" s="608">
        <v>39</v>
      </c>
      <c r="U187" s="608">
        <v>221</v>
      </c>
      <c r="V187" s="324">
        <v>1</v>
      </c>
      <c r="W187" s="324">
        <v>28</v>
      </c>
      <c r="X187" s="608">
        <v>2</v>
      </c>
      <c r="Y187" s="608">
        <v>77</v>
      </c>
      <c r="Z187" s="324">
        <v>0</v>
      </c>
      <c r="AA187" s="324">
        <v>12</v>
      </c>
      <c r="AB187" s="608">
        <v>0</v>
      </c>
      <c r="AC187" s="608">
        <v>142</v>
      </c>
      <c r="AD187" s="32">
        <f t="shared" si="51"/>
        <v>6035</v>
      </c>
      <c r="AE187" s="32">
        <f t="shared" si="52"/>
        <v>61077</v>
      </c>
      <c r="AF187" s="32">
        <f t="shared" si="56"/>
        <v>12572</v>
      </c>
      <c r="AG187" s="727">
        <f t="shared" si="53"/>
        <v>108.3</v>
      </c>
      <c r="AH187" s="32">
        <f t="shared" si="54"/>
        <v>136109</v>
      </c>
      <c r="AI187" s="727">
        <f t="shared" si="55"/>
        <v>122.8</v>
      </c>
    </row>
    <row r="188" spans="1:35" s="167" customFormat="1" ht="19.5" customHeight="1">
      <c r="A188" s="610" t="s">
        <v>422</v>
      </c>
      <c r="B188" s="324">
        <v>2094</v>
      </c>
      <c r="C188" s="324">
        <v>23458</v>
      </c>
      <c r="D188" s="608">
        <v>3213</v>
      </c>
      <c r="E188" s="608">
        <v>42247</v>
      </c>
      <c r="F188" s="324">
        <v>1</v>
      </c>
      <c r="G188" s="324">
        <v>0</v>
      </c>
      <c r="H188" s="608">
        <v>0</v>
      </c>
      <c r="I188" s="608">
        <v>0</v>
      </c>
      <c r="J188" s="324">
        <v>2398</v>
      </c>
      <c r="K188" s="324">
        <v>10841</v>
      </c>
      <c r="L188" s="608">
        <v>4740</v>
      </c>
      <c r="M188" s="608">
        <v>24027</v>
      </c>
      <c r="N188" s="324">
        <v>0</v>
      </c>
      <c r="O188" s="324">
        <v>0</v>
      </c>
      <c r="P188" s="608">
        <v>0</v>
      </c>
      <c r="Q188" s="608">
        <v>0</v>
      </c>
      <c r="R188" s="324">
        <v>0</v>
      </c>
      <c r="S188" s="324">
        <v>0</v>
      </c>
      <c r="T188" s="608">
        <v>0</v>
      </c>
      <c r="U188" s="608">
        <v>0</v>
      </c>
      <c r="V188" s="324">
        <v>0</v>
      </c>
      <c r="W188" s="324">
        <v>1</v>
      </c>
      <c r="X188" s="608">
        <v>0</v>
      </c>
      <c r="Y188" s="608">
        <v>0</v>
      </c>
      <c r="Z188" s="324">
        <v>0</v>
      </c>
      <c r="AA188" s="324">
        <v>29</v>
      </c>
      <c r="AB188" s="608">
        <v>0</v>
      </c>
      <c r="AC188" s="608">
        <v>6</v>
      </c>
      <c r="AD188" s="32">
        <f t="shared" si="51"/>
        <v>4493</v>
      </c>
      <c r="AE188" s="32">
        <f t="shared" si="52"/>
        <v>34329</v>
      </c>
      <c r="AF188" s="32">
        <f t="shared" si="56"/>
        <v>7953</v>
      </c>
      <c r="AG188" s="727">
        <f t="shared" si="53"/>
        <v>77</v>
      </c>
      <c r="AH188" s="32">
        <f t="shared" si="54"/>
        <v>66280</v>
      </c>
      <c r="AI188" s="727">
        <f t="shared" si="55"/>
        <v>93.1</v>
      </c>
    </row>
    <row r="189" spans="1:35" s="167" customFormat="1" ht="19.5" customHeight="1">
      <c r="A189" s="610" t="s">
        <v>63</v>
      </c>
      <c r="B189" s="324">
        <v>92</v>
      </c>
      <c r="C189" s="324">
        <v>501</v>
      </c>
      <c r="D189" s="608">
        <v>53</v>
      </c>
      <c r="E189" s="608">
        <v>509</v>
      </c>
      <c r="F189" s="324">
        <v>6</v>
      </c>
      <c r="G189" s="324">
        <v>82</v>
      </c>
      <c r="H189" s="608">
        <v>1</v>
      </c>
      <c r="I189" s="608">
        <v>19</v>
      </c>
      <c r="J189" s="324">
        <v>3222</v>
      </c>
      <c r="K189" s="324">
        <v>7495</v>
      </c>
      <c r="L189" s="608">
        <v>2886</v>
      </c>
      <c r="M189" s="608">
        <v>8055</v>
      </c>
      <c r="N189" s="324">
        <v>0</v>
      </c>
      <c r="O189" s="324">
        <v>0</v>
      </c>
      <c r="P189" s="608">
        <v>205</v>
      </c>
      <c r="Q189" s="608">
        <v>438</v>
      </c>
      <c r="R189" s="324">
        <v>1282</v>
      </c>
      <c r="S189" s="324">
        <v>3130</v>
      </c>
      <c r="T189" s="608">
        <v>5274</v>
      </c>
      <c r="U189" s="608">
        <v>14755</v>
      </c>
      <c r="V189" s="324">
        <v>0</v>
      </c>
      <c r="W189" s="324">
        <v>0</v>
      </c>
      <c r="X189" s="608">
        <v>0</v>
      </c>
      <c r="Y189" s="608">
        <v>0</v>
      </c>
      <c r="Z189" s="324">
        <v>0</v>
      </c>
      <c r="AA189" s="324">
        <v>2</v>
      </c>
      <c r="AB189" s="608">
        <v>0</v>
      </c>
      <c r="AC189" s="608">
        <v>1</v>
      </c>
      <c r="AD189" s="32">
        <f t="shared" si="51"/>
        <v>4602</v>
      </c>
      <c r="AE189" s="32">
        <f t="shared" si="52"/>
        <v>11210</v>
      </c>
      <c r="AF189" s="32">
        <f t="shared" si="56"/>
        <v>8419</v>
      </c>
      <c r="AG189" s="727">
        <f t="shared" si="53"/>
        <v>82.9</v>
      </c>
      <c r="AH189" s="32">
        <f t="shared" si="54"/>
        <v>23777</v>
      </c>
      <c r="AI189" s="727">
        <f t="shared" si="55"/>
        <v>112.1</v>
      </c>
    </row>
    <row r="190" spans="1:35" s="167" customFormat="1" ht="19.5" customHeight="1">
      <c r="A190" s="610" t="s">
        <v>67</v>
      </c>
      <c r="B190" s="324">
        <v>563</v>
      </c>
      <c r="C190" s="324">
        <v>4395</v>
      </c>
      <c r="D190" s="608">
        <v>529</v>
      </c>
      <c r="E190" s="608">
        <v>5630</v>
      </c>
      <c r="F190" s="324">
        <v>0</v>
      </c>
      <c r="G190" s="324">
        <v>21</v>
      </c>
      <c r="H190" s="608">
        <v>0</v>
      </c>
      <c r="I190" s="608">
        <v>21</v>
      </c>
      <c r="J190" s="324">
        <v>2911</v>
      </c>
      <c r="K190" s="324">
        <v>7322</v>
      </c>
      <c r="L190" s="608">
        <v>2313</v>
      </c>
      <c r="M190" s="608">
        <v>8449</v>
      </c>
      <c r="N190" s="324">
        <v>0</v>
      </c>
      <c r="O190" s="324">
        <v>0</v>
      </c>
      <c r="P190" s="608">
        <v>0</v>
      </c>
      <c r="Q190" s="608">
        <v>0</v>
      </c>
      <c r="R190" s="324">
        <v>0</v>
      </c>
      <c r="S190" s="324">
        <v>0</v>
      </c>
      <c r="T190" s="608">
        <v>1</v>
      </c>
      <c r="U190" s="608">
        <v>2</v>
      </c>
      <c r="V190" s="324">
        <v>0</v>
      </c>
      <c r="W190" s="324">
        <v>0</v>
      </c>
      <c r="X190" s="608">
        <v>0</v>
      </c>
      <c r="Y190" s="608">
        <v>0</v>
      </c>
      <c r="Z190" s="324">
        <v>965</v>
      </c>
      <c r="AA190" s="324">
        <v>2388</v>
      </c>
      <c r="AB190" s="608">
        <v>129</v>
      </c>
      <c r="AC190" s="608">
        <v>319</v>
      </c>
      <c r="AD190" s="32">
        <f t="shared" si="51"/>
        <v>4439</v>
      </c>
      <c r="AE190" s="32">
        <f t="shared" si="52"/>
        <v>14126</v>
      </c>
      <c r="AF190" s="32">
        <f t="shared" si="56"/>
        <v>2972</v>
      </c>
      <c r="AG190" s="727">
        <f t="shared" si="53"/>
        <v>-33</v>
      </c>
      <c r="AH190" s="32">
        <f t="shared" si="54"/>
        <v>14421</v>
      </c>
      <c r="AI190" s="727">
        <f t="shared" si="55"/>
        <v>2.1</v>
      </c>
    </row>
    <row r="191" spans="1:35" s="167" customFormat="1" ht="19.5" customHeight="1">
      <c r="A191" s="610" t="s">
        <v>77</v>
      </c>
      <c r="B191" s="324">
        <v>163</v>
      </c>
      <c r="C191" s="324">
        <v>688</v>
      </c>
      <c r="D191" s="608">
        <v>1278</v>
      </c>
      <c r="E191" s="608">
        <v>10031</v>
      </c>
      <c r="F191" s="324">
        <v>0</v>
      </c>
      <c r="G191" s="324">
        <v>0</v>
      </c>
      <c r="H191" s="608">
        <v>0</v>
      </c>
      <c r="I191" s="608">
        <v>0</v>
      </c>
      <c r="J191" s="324">
        <v>2467</v>
      </c>
      <c r="K191" s="324">
        <v>6558</v>
      </c>
      <c r="L191" s="608">
        <v>7940</v>
      </c>
      <c r="M191" s="608">
        <v>25768</v>
      </c>
      <c r="N191" s="324">
        <v>0</v>
      </c>
      <c r="O191" s="324">
        <v>0</v>
      </c>
      <c r="P191" s="608">
        <v>0</v>
      </c>
      <c r="Q191" s="608">
        <v>0</v>
      </c>
      <c r="R191" s="324">
        <v>0</v>
      </c>
      <c r="S191" s="324">
        <v>0</v>
      </c>
      <c r="T191" s="608">
        <v>0</v>
      </c>
      <c r="U191" s="608">
        <v>1</v>
      </c>
      <c r="V191" s="324">
        <v>0</v>
      </c>
      <c r="W191" s="324">
        <v>0</v>
      </c>
      <c r="X191" s="608">
        <v>0</v>
      </c>
      <c r="Y191" s="608">
        <v>0</v>
      </c>
      <c r="Z191" s="324">
        <v>0</v>
      </c>
      <c r="AA191" s="324">
        <v>2</v>
      </c>
      <c r="AB191" s="608">
        <v>0</v>
      </c>
      <c r="AC191" s="608">
        <v>5</v>
      </c>
      <c r="AD191" s="32">
        <f t="shared" si="51"/>
        <v>2630</v>
      </c>
      <c r="AE191" s="32">
        <f t="shared" si="52"/>
        <v>7248</v>
      </c>
      <c r="AF191" s="32">
        <f t="shared" si="56"/>
        <v>9218</v>
      </c>
      <c r="AG191" s="727">
        <f t="shared" si="53"/>
        <v>250.5</v>
      </c>
      <c r="AH191" s="32">
        <f t="shared" si="54"/>
        <v>35805</v>
      </c>
      <c r="AI191" s="727">
        <f t="shared" si="55"/>
        <v>394</v>
      </c>
    </row>
    <row r="192" spans="1:35" s="167" customFormat="1" ht="19.5" customHeight="1">
      <c r="A192" s="610" t="s">
        <v>510</v>
      </c>
      <c r="B192" s="324">
        <v>74</v>
      </c>
      <c r="C192" s="324">
        <v>524</v>
      </c>
      <c r="D192" s="608">
        <v>31</v>
      </c>
      <c r="E192" s="608">
        <v>259</v>
      </c>
      <c r="F192" s="324">
        <v>0</v>
      </c>
      <c r="G192" s="324">
        <v>0</v>
      </c>
      <c r="H192" s="608">
        <v>0</v>
      </c>
      <c r="I192" s="608">
        <v>0</v>
      </c>
      <c r="J192" s="324">
        <v>3118</v>
      </c>
      <c r="K192" s="324">
        <v>6653</v>
      </c>
      <c r="L192" s="608">
        <v>4724</v>
      </c>
      <c r="M192" s="608">
        <v>12608</v>
      </c>
      <c r="N192" s="324">
        <v>0</v>
      </c>
      <c r="O192" s="324">
        <v>0</v>
      </c>
      <c r="P192" s="608">
        <v>0</v>
      </c>
      <c r="Q192" s="608">
        <v>0</v>
      </c>
      <c r="R192" s="324">
        <v>90</v>
      </c>
      <c r="S192" s="324">
        <v>229</v>
      </c>
      <c r="T192" s="608">
        <v>20</v>
      </c>
      <c r="U192" s="608">
        <v>68</v>
      </c>
      <c r="V192" s="324">
        <v>0</v>
      </c>
      <c r="W192" s="324">
        <v>0</v>
      </c>
      <c r="X192" s="608">
        <v>0</v>
      </c>
      <c r="Y192" s="608">
        <v>0</v>
      </c>
      <c r="Z192" s="324">
        <v>0</v>
      </c>
      <c r="AA192" s="324">
        <v>0</v>
      </c>
      <c r="AB192" s="608">
        <v>0</v>
      </c>
      <c r="AC192" s="608">
        <v>2</v>
      </c>
      <c r="AD192" s="32">
        <f t="shared" si="51"/>
        <v>3282</v>
      </c>
      <c r="AE192" s="32">
        <f t="shared" si="52"/>
        <v>7406</v>
      </c>
      <c r="AF192" s="32">
        <f t="shared" si="56"/>
        <v>4775</v>
      </c>
      <c r="AG192" s="727">
        <f t="shared" si="53"/>
        <v>45.5</v>
      </c>
      <c r="AH192" s="32">
        <f t="shared" si="54"/>
        <v>12937</v>
      </c>
      <c r="AI192" s="727">
        <f t="shared" si="55"/>
        <v>74.7</v>
      </c>
    </row>
    <row r="193" spans="1:35" s="167" customFormat="1" ht="19.5" customHeight="1">
      <c r="A193" s="610" t="s">
        <v>81</v>
      </c>
      <c r="B193" s="324">
        <v>0</v>
      </c>
      <c r="C193" s="324">
        <v>0</v>
      </c>
      <c r="D193" s="608">
        <v>0</v>
      </c>
      <c r="E193" s="608">
        <v>0</v>
      </c>
      <c r="F193" s="324">
        <v>0</v>
      </c>
      <c r="G193" s="324">
        <v>0</v>
      </c>
      <c r="H193" s="608">
        <v>0</v>
      </c>
      <c r="I193" s="608">
        <v>0</v>
      </c>
      <c r="J193" s="324">
        <v>4445</v>
      </c>
      <c r="K193" s="324">
        <v>9450</v>
      </c>
      <c r="L193" s="608">
        <v>10531</v>
      </c>
      <c r="M193" s="608">
        <v>28538</v>
      </c>
      <c r="N193" s="324">
        <v>0</v>
      </c>
      <c r="O193" s="324">
        <v>0</v>
      </c>
      <c r="P193" s="608">
        <v>0</v>
      </c>
      <c r="Q193" s="608">
        <v>0</v>
      </c>
      <c r="R193" s="324">
        <v>0</v>
      </c>
      <c r="S193" s="324">
        <v>0</v>
      </c>
      <c r="T193" s="608">
        <v>21</v>
      </c>
      <c r="U193" s="608">
        <v>109</v>
      </c>
      <c r="V193" s="324">
        <v>0</v>
      </c>
      <c r="W193" s="324">
        <v>0</v>
      </c>
      <c r="X193" s="608">
        <v>0</v>
      </c>
      <c r="Y193" s="608">
        <v>0</v>
      </c>
      <c r="Z193" s="324">
        <v>0</v>
      </c>
      <c r="AA193" s="324">
        <v>0</v>
      </c>
      <c r="AB193" s="608">
        <v>0</v>
      </c>
      <c r="AC193" s="608">
        <v>0</v>
      </c>
      <c r="AD193" s="32">
        <f t="shared" si="51"/>
        <v>4445</v>
      </c>
      <c r="AE193" s="32">
        <f t="shared" si="52"/>
        <v>9450</v>
      </c>
      <c r="AF193" s="32">
        <f t="shared" si="56"/>
        <v>10552</v>
      </c>
      <c r="AG193" s="727">
        <f t="shared" si="53"/>
        <v>137.4</v>
      </c>
      <c r="AH193" s="32">
        <f t="shared" si="54"/>
        <v>28647</v>
      </c>
      <c r="AI193" s="727">
        <f t="shared" si="55"/>
        <v>203.1</v>
      </c>
    </row>
    <row r="194" spans="1:35" s="167" customFormat="1" ht="19.5" customHeight="1">
      <c r="A194" s="610" t="s">
        <v>59</v>
      </c>
      <c r="B194" s="324">
        <v>1138</v>
      </c>
      <c r="C194" s="324">
        <v>7909</v>
      </c>
      <c r="D194" s="608">
        <v>2043</v>
      </c>
      <c r="E194" s="608">
        <v>17831</v>
      </c>
      <c r="F194" s="324">
        <v>63</v>
      </c>
      <c r="G194" s="324">
        <v>653</v>
      </c>
      <c r="H194" s="608">
        <v>52</v>
      </c>
      <c r="I194" s="608">
        <v>504</v>
      </c>
      <c r="J194" s="324">
        <v>1319</v>
      </c>
      <c r="K194" s="324">
        <v>7062</v>
      </c>
      <c r="L194" s="608">
        <v>1150</v>
      </c>
      <c r="M194" s="608">
        <v>5960</v>
      </c>
      <c r="N194" s="324">
        <v>97</v>
      </c>
      <c r="O194" s="324">
        <v>134</v>
      </c>
      <c r="P194" s="608">
        <v>0</v>
      </c>
      <c r="Q194" s="608">
        <v>3</v>
      </c>
      <c r="R194" s="324">
        <v>705</v>
      </c>
      <c r="S194" s="324">
        <v>1723</v>
      </c>
      <c r="T194" s="608">
        <v>1315</v>
      </c>
      <c r="U194" s="608">
        <v>4099</v>
      </c>
      <c r="V194" s="324">
        <v>0</v>
      </c>
      <c r="W194" s="324">
        <v>5</v>
      </c>
      <c r="X194" s="608">
        <v>0</v>
      </c>
      <c r="Y194" s="608">
        <v>2</v>
      </c>
      <c r="Z194" s="324">
        <v>366</v>
      </c>
      <c r="AA194" s="324">
        <v>911</v>
      </c>
      <c r="AB194" s="608">
        <v>230</v>
      </c>
      <c r="AC194" s="608">
        <v>767</v>
      </c>
      <c r="AD194" s="32">
        <f t="shared" si="51"/>
        <v>3688</v>
      </c>
      <c r="AE194" s="32">
        <f t="shared" si="52"/>
        <v>18397</v>
      </c>
      <c r="AF194" s="32">
        <f t="shared" si="56"/>
        <v>4790</v>
      </c>
      <c r="AG194" s="727">
        <f t="shared" si="53"/>
        <v>29.9</v>
      </c>
      <c r="AH194" s="32">
        <f t="shared" si="54"/>
        <v>29166</v>
      </c>
      <c r="AI194" s="727">
        <f t="shared" si="55"/>
        <v>58.5</v>
      </c>
    </row>
    <row r="195" spans="1:35" s="167" customFormat="1" ht="19.5" customHeight="1">
      <c r="A195" s="610" t="s">
        <v>506</v>
      </c>
      <c r="B195" s="324">
        <v>65</v>
      </c>
      <c r="C195" s="324">
        <v>545</v>
      </c>
      <c r="D195" s="608">
        <v>69</v>
      </c>
      <c r="E195" s="608">
        <v>640</v>
      </c>
      <c r="F195" s="324">
        <v>0</v>
      </c>
      <c r="G195" s="324">
        <v>0</v>
      </c>
      <c r="H195" s="608">
        <v>0</v>
      </c>
      <c r="I195" s="608">
        <v>0</v>
      </c>
      <c r="J195" s="324">
        <v>3052</v>
      </c>
      <c r="K195" s="324">
        <v>6705</v>
      </c>
      <c r="L195" s="608">
        <v>1333</v>
      </c>
      <c r="M195" s="608">
        <v>3457</v>
      </c>
      <c r="N195" s="324">
        <v>28</v>
      </c>
      <c r="O195" s="324">
        <v>76</v>
      </c>
      <c r="P195" s="608">
        <v>0</v>
      </c>
      <c r="Q195" s="608">
        <v>0</v>
      </c>
      <c r="R195" s="324">
        <v>513</v>
      </c>
      <c r="S195" s="324">
        <v>1171</v>
      </c>
      <c r="T195" s="608">
        <v>2</v>
      </c>
      <c r="U195" s="608">
        <v>15</v>
      </c>
      <c r="V195" s="324">
        <v>0</v>
      </c>
      <c r="W195" s="324">
        <v>0</v>
      </c>
      <c r="X195" s="608">
        <v>48</v>
      </c>
      <c r="Y195" s="608">
        <v>945</v>
      </c>
      <c r="Z195" s="324">
        <v>0</v>
      </c>
      <c r="AA195" s="324">
        <v>14</v>
      </c>
      <c r="AB195" s="608">
        <v>0</v>
      </c>
      <c r="AC195" s="608">
        <v>0</v>
      </c>
      <c r="AD195" s="32">
        <f t="shared" si="51"/>
        <v>3658</v>
      </c>
      <c r="AE195" s="32">
        <f t="shared" si="52"/>
        <v>8511</v>
      </c>
      <c r="AF195" s="32">
        <f t="shared" si="56"/>
        <v>1452</v>
      </c>
      <c r="AG195" s="727">
        <f t="shared" si="53"/>
        <v>-60.3</v>
      </c>
      <c r="AH195" s="32">
        <f t="shared" si="54"/>
        <v>5057</v>
      </c>
      <c r="AI195" s="727">
        <f t="shared" si="55"/>
        <v>-40.6</v>
      </c>
    </row>
    <row r="196" spans="1:35" s="167" customFormat="1" ht="19.5" customHeight="1">
      <c r="A196" s="610" t="s">
        <v>83</v>
      </c>
      <c r="B196" s="324">
        <v>929</v>
      </c>
      <c r="C196" s="324">
        <v>5591</v>
      </c>
      <c r="D196" s="608">
        <v>1061</v>
      </c>
      <c r="E196" s="608">
        <v>9094</v>
      </c>
      <c r="F196" s="324">
        <v>0</v>
      </c>
      <c r="G196" s="324">
        <v>0</v>
      </c>
      <c r="H196" s="608">
        <v>0</v>
      </c>
      <c r="I196" s="608">
        <v>3</v>
      </c>
      <c r="J196" s="324">
        <v>2051</v>
      </c>
      <c r="K196" s="324">
        <v>4782</v>
      </c>
      <c r="L196" s="608">
        <v>1836</v>
      </c>
      <c r="M196" s="608">
        <v>5084</v>
      </c>
      <c r="N196" s="324">
        <v>0</v>
      </c>
      <c r="O196" s="324">
        <v>0</v>
      </c>
      <c r="P196" s="608">
        <v>0</v>
      </c>
      <c r="Q196" s="608">
        <v>0</v>
      </c>
      <c r="R196" s="324">
        <v>51</v>
      </c>
      <c r="S196" s="324">
        <v>118</v>
      </c>
      <c r="T196" s="608">
        <v>128</v>
      </c>
      <c r="U196" s="608">
        <v>383</v>
      </c>
      <c r="V196" s="324">
        <v>0</v>
      </c>
      <c r="W196" s="324">
        <v>0</v>
      </c>
      <c r="X196" s="608">
        <v>0</v>
      </c>
      <c r="Y196" s="608">
        <v>0</v>
      </c>
      <c r="Z196" s="324">
        <v>0</v>
      </c>
      <c r="AA196" s="324">
        <v>0</v>
      </c>
      <c r="AB196" s="608">
        <v>0</v>
      </c>
      <c r="AC196" s="608">
        <v>0</v>
      </c>
      <c r="AD196" s="32">
        <f t="shared" si="51"/>
        <v>3031</v>
      </c>
      <c r="AE196" s="32">
        <f t="shared" si="52"/>
        <v>10491</v>
      </c>
      <c r="AF196" s="32">
        <f t="shared" si="56"/>
        <v>3025</v>
      </c>
      <c r="AG196" s="727">
        <f t="shared" si="53"/>
        <v>-0.2</v>
      </c>
      <c r="AH196" s="32">
        <f t="shared" si="54"/>
        <v>14564</v>
      </c>
      <c r="AI196" s="727">
        <f t="shared" si="55"/>
        <v>38.799999999999997</v>
      </c>
    </row>
    <row r="197" spans="1:35" s="605" customFormat="1" ht="19.5" customHeight="1">
      <c r="A197" s="611" t="s">
        <v>511</v>
      </c>
      <c r="B197" s="608">
        <v>0</v>
      </c>
      <c r="C197" s="608">
        <v>1</v>
      </c>
      <c r="D197" s="608">
        <v>0</v>
      </c>
      <c r="E197" s="608">
        <v>2</v>
      </c>
      <c r="F197" s="608">
        <v>0</v>
      </c>
      <c r="G197" s="608">
        <v>0</v>
      </c>
      <c r="H197" s="608">
        <v>0</v>
      </c>
      <c r="I197" s="608">
        <v>0</v>
      </c>
      <c r="J197" s="608">
        <v>834</v>
      </c>
      <c r="K197" s="608">
        <v>1572</v>
      </c>
      <c r="L197" s="608">
        <v>542</v>
      </c>
      <c r="M197" s="608">
        <v>1497</v>
      </c>
      <c r="N197" s="608">
        <v>150</v>
      </c>
      <c r="O197" s="608">
        <v>305</v>
      </c>
      <c r="P197" s="608">
        <v>0</v>
      </c>
      <c r="Q197" s="608">
        <v>0</v>
      </c>
      <c r="R197" s="608">
        <v>1131</v>
      </c>
      <c r="S197" s="608">
        <v>2367</v>
      </c>
      <c r="T197" s="608">
        <v>498</v>
      </c>
      <c r="U197" s="608">
        <v>1432</v>
      </c>
      <c r="V197" s="608">
        <v>0</v>
      </c>
      <c r="W197" s="608">
        <v>0</v>
      </c>
      <c r="X197" s="608">
        <v>0</v>
      </c>
      <c r="Y197" s="608">
        <v>0</v>
      </c>
      <c r="Z197" s="608">
        <v>0</v>
      </c>
      <c r="AA197" s="608">
        <v>0</v>
      </c>
      <c r="AB197" s="608">
        <v>0</v>
      </c>
      <c r="AC197" s="608">
        <v>0</v>
      </c>
      <c r="AD197" s="32">
        <f t="shared" si="51"/>
        <v>2115</v>
      </c>
      <c r="AE197" s="32">
        <f t="shared" si="52"/>
        <v>4245</v>
      </c>
      <c r="AF197" s="32">
        <f t="shared" si="56"/>
        <v>1040</v>
      </c>
      <c r="AG197" s="37">
        <f t="shared" si="53"/>
        <v>-50.8</v>
      </c>
      <c r="AH197" s="32">
        <f t="shared" si="54"/>
        <v>2931</v>
      </c>
      <c r="AI197" s="37">
        <f t="shared" si="55"/>
        <v>-31</v>
      </c>
    </row>
    <row r="198" spans="1:35" s="605" customFormat="1" ht="19.5" customHeight="1">
      <c r="A198" s="30" t="s">
        <v>71</v>
      </c>
      <c r="B198" s="33">
        <f t="shared" ref="B198:G198" si="57">B199-SUM(B168:B197)</f>
        <v>7241</v>
      </c>
      <c r="C198" s="33">
        <f t="shared" si="57"/>
        <v>58556</v>
      </c>
      <c r="D198" s="33">
        <f t="shared" si="57"/>
        <v>5632</v>
      </c>
      <c r="E198" s="33">
        <f t="shared" si="57"/>
        <v>63015</v>
      </c>
      <c r="F198" s="33">
        <f t="shared" si="57"/>
        <v>625</v>
      </c>
      <c r="G198" s="33">
        <f t="shared" si="57"/>
        <v>5421</v>
      </c>
      <c r="H198" s="33">
        <f t="shared" ref="H198:AC198" si="58">H199-SUM(H168:H197)</f>
        <v>460</v>
      </c>
      <c r="I198" s="33">
        <f t="shared" si="58"/>
        <v>4865</v>
      </c>
      <c r="J198" s="33">
        <f t="shared" si="58"/>
        <v>20274</v>
      </c>
      <c r="K198" s="33">
        <f t="shared" si="58"/>
        <v>81661</v>
      </c>
      <c r="L198" s="33">
        <f t="shared" si="58"/>
        <v>23404</v>
      </c>
      <c r="M198" s="33">
        <f t="shared" si="58"/>
        <v>99533</v>
      </c>
      <c r="N198" s="33">
        <f t="shared" si="58"/>
        <v>2077</v>
      </c>
      <c r="O198" s="33">
        <f t="shared" si="58"/>
        <v>4318</v>
      </c>
      <c r="P198" s="33">
        <f t="shared" si="58"/>
        <v>770</v>
      </c>
      <c r="Q198" s="33">
        <f t="shared" si="58"/>
        <v>1426</v>
      </c>
      <c r="R198" s="33">
        <f t="shared" si="58"/>
        <v>10153</v>
      </c>
      <c r="S198" s="33">
        <f t="shared" si="58"/>
        <v>23741</v>
      </c>
      <c r="T198" s="33">
        <f t="shared" si="58"/>
        <v>3351</v>
      </c>
      <c r="U198" s="33">
        <f t="shared" si="58"/>
        <v>9842</v>
      </c>
      <c r="V198" s="33">
        <f t="shared" si="58"/>
        <v>34</v>
      </c>
      <c r="W198" s="33">
        <f t="shared" si="58"/>
        <v>400</v>
      </c>
      <c r="X198" s="33">
        <f t="shared" si="58"/>
        <v>15</v>
      </c>
      <c r="Y198" s="33">
        <f t="shared" si="58"/>
        <v>253</v>
      </c>
      <c r="Z198" s="33">
        <f t="shared" si="58"/>
        <v>878</v>
      </c>
      <c r="AA198" s="33">
        <f t="shared" si="58"/>
        <v>13386</v>
      </c>
      <c r="AB198" s="33">
        <f t="shared" si="58"/>
        <v>885</v>
      </c>
      <c r="AC198" s="33">
        <f t="shared" si="58"/>
        <v>16521</v>
      </c>
      <c r="AD198" s="33">
        <f>AD199-SUM(AD168:AD197)</f>
        <v>41282</v>
      </c>
      <c r="AE198" s="33">
        <f>AE199-SUM(AE168:AE197)</f>
        <v>187483</v>
      </c>
      <c r="AF198" s="33">
        <f>AF199-SUM(AF168:AF197)</f>
        <v>34517</v>
      </c>
      <c r="AG198" s="37">
        <f t="shared" si="53"/>
        <v>-16.399999999999999</v>
      </c>
      <c r="AH198" s="33">
        <f>AH199-SUM(AH168:AH197)</f>
        <v>195455</v>
      </c>
      <c r="AI198" s="38">
        <f t="shared" si="55"/>
        <v>4.3</v>
      </c>
    </row>
    <row r="199" spans="1:35" s="605" customFormat="1" ht="19.5" customHeight="1">
      <c r="A199" s="725" t="s">
        <v>72</v>
      </c>
      <c r="B199" s="609">
        <v>259468</v>
      </c>
      <c r="C199" s="609">
        <v>1703192</v>
      </c>
      <c r="D199" s="609">
        <v>328455</v>
      </c>
      <c r="E199" s="609">
        <v>2865260</v>
      </c>
      <c r="F199" s="609">
        <v>6165</v>
      </c>
      <c r="G199" s="368">
        <v>54329</v>
      </c>
      <c r="H199" s="609">
        <v>7683</v>
      </c>
      <c r="I199" s="609">
        <v>69105</v>
      </c>
      <c r="J199" s="609">
        <v>482375</v>
      </c>
      <c r="K199" s="609">
        <v>1432957</v>
      </c>
      <c r="L199" s="609">
        <v>529007</v>
      </c>
      <c r="M199" s="609">
        <v>1843909</v>
      </c>
      <c r="N199" s="609">
        <v>139658</v>
      </c>
      <c r="O199" s="609">
        <v>279523</v>
      </c>
      <c r="P199" s="609">
        <v>135704</v>
      </c>
      <c r="Q199" s="609">
        <v>301178</v>
      </c>
      <c r="R199" s="609">
        <v>255753</v>
      </c>
      <c r="S199" s="609">
        <v>561662</v>
      </c>
      <c r="T199" s="609">
        <v>255575</v>
      </c>
      <c r="U199" s="609">
        <v>738784</v>
      </c>
      <c r="V199" s="609">
        <v>697</v>
      </c>
      <c r="W199" s="609">
        <v>16835</v>
      </c>
      <c r="X199" s="609">
        <v>884</v>
      </c>
      <c r="Y199" s="609">
        <v>25682</v>
      </c>
      <c r="Z199" s="609">
        <v>10188</v>
      </c>
      <c r="AA199" s="368">
        <v>99392</v>
      </c>
      <c r="AB199" s="609">
        <v>6840</v>
      </c>
      <c r="AC199" s="609">
        <v>106649</v>
      </c>
      <c r="AD199" s="35">
        <f>SUM(B199+F199+J199+N199+R199+V199+Z199)</f>
        <v>1154304</v>
      </c>
      <c r="AE199" s="35">
        <f>SUM(C199+G199+K199+O199+S199+W199+AA199)</f>
        <v>4147890</v>
      </c>
      <c r="AF199" s="35">
        <f>SUM(D199+H199+L199+P199+T199+X199+AB199)</f>
        <v>1264148</v>
      </c>
      <c r="AG199" s="220">
        <f t="shared" si="53"/>
        <v>9.5</v>
      </c>
      <c r="AH199" s="35">
        <f>SUM(E199+I199+M199+Q199+U199+Y199+AC199)</f>
        <v>5950567</v>
      </c>
      <c r="AI199" s="38">
        <f t="shared" si="55"/>
        <v>43.5</v>
      </c>
    </row>
    <row r="200" spans="1:35" s="605" customFormat="1">
      <c r="A200" s="20"/>
      <c r="B200" s="20"/>
      <c r="C200" s="21"/>
      <c r="D200" s="21"/>
      <c r="E200" s="20"/>
      <c r="F200" s="21"/>
      <c r="G200" s="20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  <c r="S200" s="22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>
      <c r="AD201" s="164"/>
      <c r="AE201" s="164"/>
      <c r="AF201" s="164"/>
      <c r="AH201" s="164"/>
    </row>
  </sheetData>
  <mergeCells count="290">
    <mergeCell ref="AH126:AH127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F126:AF127"/>
    <mergeCell ref="AD125:AE125"/>
    <mergeCell ref="AF125:AI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A121:AI121"/>
    <mergeCell ref="A124:A127"/>
    <mergeCell ref="B124:E124"/>
    <mergeCell ref="F124:I124"/>
    <mergeCell ref="J124:M124"/>
    <mergeCell ref="N124:Q124"/>
    <mergeCell ref="R124:U124"/>
    <mergeCell ref="V124:Y124"/>
    <mergeCell ref="Z124:AC124"/>
    <mergeCell ref="AD124:AI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AB125:AC125"/>
    <mergeCell ref="AF46:AF47"/>
    <mergeCell ref="AH46:AH47"/>
    <mergeCell ref="AA46:AA47"/>
    <mergeCell ref="AB46:AB47"/>
    <mergeCell ref="AC46:AC47"/>
    <mergeCell ref="AD46:AD47"/>
    <mergeCell ref="AE46:AE47"/>
    <mergeCell ref="V46:V47"/>
    <mergeCell ref="W46:W47"/>
    <mergeCell ref="X46:X47"/>
    <mergeCell ref="Y46:Y47"/>
    <mergeCell ref="Z46:Z47"/>
    <mergeCell ref="T45:U45"/>
    <mergeCell ref="V45:W45"/>
    <mergeCell ref="G46:G47"/>
    <mergeCell ref="H46:H47"/>
    <mergeCell ref="I46:I47"/>
    <mergeCell ref="J46:J47"/>
    <mergeCell ref="K46:K47"/>
    <mergeCell ref="B46:B47"/>
    <mergeCell ref="C46:C47"/>
    <mergeCell ref="D46:D47"/>
    <mergeCell ref="E46:E47"/>
    <mergeCell ref="F46:F47"/>
    <mergeCell ref="Q46:Q47"/>
    <mergeCell ref="R46:R47"/>
    <mergeCell ref="S46:S47"/>
    <mergeCell ref="T46:T47"/>
    <mergeCell ref="U46:U47"/>
    <mergeCell ref="L46:L47"/>
    <mergeCell ref="M46:M47"/>
    <mergeCell ref="N46:N47"/>
    <mergeCell ref="O46:O47"/>
    <mergeCell ref="P46:P47"/>
    <mergeCell ref="A41:AI41"/>
    <mergeCell ref="A44:A47"/>
    <mergeCell ref="B44:E44"/>
    <mergeCell ref="F44:I44"/>
    <mergeCell ref="J44:M44"/>
    <mergeCell ref="N44:Q44"/>
    <mergeCell ref="R44:U44"/>
    <mergeCell ref="V44:Y44"/>
    <mergeCell ref="Z44:AC44"/>
    <mergeCell ref="AD44:AI44"/>
    <mergeCell ref="B45:C45"/>
    <mergeCell ref="D45:E45"/>
    <mergeCell ref="F45:G45"/>
    <mergeCell ref="H45:I45"/>
    <mergeCell ref="J45:K45"/>
    <mergeCell ref="L45:M45"/>
    <mergeCell ref="X45:Y45"/>
    <mergeCell ref="Z45:AA45"/>
    <mergeCell ref="AB45:AC45"/>
    <mergeCell ref="AD45:AE45"/>
    <mergeCell ref="AF45:AI45"/>
    <mergeCell ref="N45:O45"/>
    <mergeCell ref="P45:Q45"/>
    <mergeCell ref="R45:S45"/>
    <mergeCell ref="A1:AI1"/>
    <mergeCell ref="A4:A7"/>
    <mergeCell ref="B4:E4"/>
    <mergeCell ref="F4:I4"/>
    <mergeCell ref="J4:M4"/>
    <mergeCell ref="N4:Q4"/>
    <mergeCell ref="R4:U4"/>
    <mergeCell ref="V4:Y4"/>
    <mergeCell ref="Z4:AC4"/>
    <mergeCell ref="AD4:AI4"/>
    <mergeCell ref="B5:C5"/>
    <mergeCell ref="D5:E5"/>
    <mergeCell ref="F5:G5"/>
    <mergeCell ref="H5:I5"/>
    <mergeCell ref="J5:K5"/>
    <mergeCell ref="G6:G7"/>
    <mergeCell ref="N5:O5"/>
    <mergeCell ref="P5:Q5"/>
    <mergeCell ref="R5:S5"/>
    <mergeCell ref="T5:U5"/>
    <mergeCell ref="L5:M5"/>
    <mergeCell ref="B6:B7"/>
    <mergeCell ref="C6:C7"/>
    <mergeCell ref="D6:D7"/>
    <mergeCell ref="E6:E7"/>
    <mergeCell ref="F6:F7"/>
    <mergeCell ref="M6:M7"/>
    <mergeCell ref="Z5:AA5"/>
    <mergeCell ref="AB5:AC5"/>
    <mergeCell ref="AD5:AE5"/>
    <mergeCell ref="AF5:AI5"/>
    <mergeCell ref="V5:W5"/>
    <mergeCell ref="X5:Y5"/>
    <mergeCell ref="Y6:Y7"/>
    <mergeCell ref="N6:N7"/>
    <mergeCell ref="O6:O7"/>
    <mergeCell ref="P6:P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V6:V7"/>
    <mergeCell ref="W6:W7"/>
    <mergeCell ref="X6:X7"/>
    <mergeCell ref="AF6:AF7"/>
    <mergeCell ref="AH6:AH7"/>
    <mergeCell ref="Z6:Z7"/>
    <mergeCell ref="AA6:AA7"/>
    <mergeCell ref="AB6:AB7"/>
    <mergeCell ref="AC6:AC7"/>
    <mergeCell ref="AD6:AD7"/>
    <mergeCell ref="AE6:AE7"/>
    <mergeCell ref="A81:AI81"/>
    <mergeCell ref="A84:A87"/>
    <mergeCell ref="B84:E84"/>
    <mergeCell ref="F84:I84"/>
    <mergeCell ref="J84:M84"/>
    <mergeCell ref="N84:Q84"/>
    <mergeCell ref="R84:U84"/>
    <mergeCell ref="V84:Y84"/>
    <mergeCell ref="Z84:AC84"/>
    <mergeCell ref="AD84:AI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I85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AH86:AH87"/>
    <mergeCell ref="X86:X87"/>
    <mergeCell ref="Y86:Y87"/>
    <mergeCell ref="Z86:Z87"/>
    <mergeCell ref="AA86:AA87"/>
    <mergeCell ref="AB86:AB87"/>
    <mergeCell ref="AC86:AC87"/>
    <mergeCell ref="AD86:AD87"/>
    <mergeCell ref="AE86:AE87"/>
    <mergeCell ref="AF86:AF87"/>
    <mergeCell ref="A161:AI161"/>
    <mergeCell ref="A164:A167"/>
    <mergeCell ref="B164:E164"/>
    <mergeCell ref="F164:I164"/>
    <mergeCell ref="J164:M164"/>
    <mergeCell ref="N164:Q164"/>
    <mergeCell ref="R164:U164"/>
    <mergeCell ref="V164:Y164"/>
    <mergeCell ref="Z164:AC164"/>
    <mergeCell ref="AD164:AI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I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AH166:AH167"/>
    <mergeCell ref="X166:X167"/>
    <mergeCell ref="Y166:Y167"/>
    <mergeCell ref="Z166:Z167"/>
    <mergeCell ref="AA166:AA167"/>
    <mergeCell ref="AB166:AB167"/>
    <mergeCell ref="AC166:AC167"/>
    <mergeCell ref="AD166:AD167"/>
    <mergeCell ref="AE166:AE167"/>
    <mergeCell ref="AF166:AF167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1"/>
  <sheetViews>
    <sheetView topLeftCell="A121" workbookViewId="0">
      <selection activeCell="A121" sqref="A121:G121"/>
    </sheetView>
  </sheetViews>
  <sheetFormatPr defaultRowHeight="16.5"/>
  <cols>
    <col min="1" max="1" width="22.625" style="43" customWidth="1"/>
    <col min="2" max="4" width="12.625" style="44" customWidth="1"/>
    <col min="5" max="5" width="8.625" style="45" customWidth="1"/>
    <col min="6" max="6" width="12.625" style="44" customWidth="1"/>
    <col min="7" max="7" width="8.625" style="45" customWidth="1"/>
    <col min="8" max="16384" width="9" style="277"/>
  </cols>
  <sheetData>
    <row r="1" spans="1:7" ht="22.5" hidden="1">
      <c r="A1" s="831" t="s">
        <v>508</v>
      </c>
      <c r="B1" s="831"/>
      <c r="C1" s="831"/>
      <c r="D1" s="831"/>
      <c r="E1" s="831"/>
      <c r="F1" s="831"/>
      <c r="G1" s="831"/>
    </row>
    <row r="2" spans="1:7" hidden="1"/>
    <row r="3" spans="1:7" hidden="1">
      <c r="F3" s="830" t="s">
        <v>73</v>
      </c>
      <c r="G3" s="830"/>
    </row>
    <row r="4" spans="1:7" ht="21.75" hidden="1" customHeight="1">
      <c r="A4" s="749" t="s">
        <v>36</v>
      </c>
      <c r="B4" s="749" t="s">
        <v>312</v>
      </c>
      <c r="C4" s="749"/>
      <c r="D4" s="749"/>
      <c r="E4" s="749"/>
      <c r="F4" s="749"/>
      <c r="G4" s="749"/>
    </row>
    <row r="5" spans="1:7" ht="21" hidden="1" customHeight="1">
      <c r="A5" s="749"/>
      <c r="B5" s="749" t="s">
        <v>419</v>
      </c>
      <c r="C5" s="749"/>
      <c r="D5" s="749" t="s">
        <v>504</v>
      </c>
      <c r="E5" s="749"/>
      <c r="F5" s="749"/>
      <c r="G5" s="749"/>
    </row>
    <row r="6" spans="1:7" hidden="1">
      <c r="A6" s="749"/>
      <c r="B6" s="749" t="s">
        <v>37</v>
      </c>
      <c r="C6" s="749" t="s">
        <v>38</v>
      </c>
      <c r="D6" s="832" t="s">
        <v>39</v>
      </c>
      <c r="E6" s="46"/>
      <c r="F6" s="832" t="s">
        <v>38</v>
      </c>
      <c r="G6" s="46"/>
    </row>
    <row r="7" spans="1:7" ht="17.25" hidden="1" thickBot="1">
      <c r="A7" s="833"/>
      <c r="B7" s="833"/>
      <c r="C7" s="833"/>
      <c r="D7" s="833"/>
      <c r="E7" s="47" t="s">
        <v>42</v>
      </c>
      <c r="F7" s="833"/>
      <c r="G7" s="47" t="s">
        <v>42</v>
      </c>
    </row>
    <row r="8" spans="1:7" ht="19.5" hidden="1" customHeight="1" thickTop="1">
      <c r="A8" s="29" t="s">
        <v>43</v>
      </c>
      <c r="B8" s="182">
        <f>국가별수입!AD48-국가별수입!AD8</f>
        <v>27006</v>
      </c>
      <c r="C8" s="182">
        <f>국가별수입!AE48-국가별수입!AE8</f>
        <v>102014</v>
      </c>
      <c r="D8" s="182">
        <f>국가별수입!AF48-국가별수입!AF8</f>
        <v>44778</v>
      </c>
      <c r="E8" s="37">
        <f>ROUND(((D8/B8-1)*100),1)</f>
        <v>65.8</v>
      </c>
      <c r="F8" s="182">
        <f>국가별수입!AH48-국가별수입!AH8</f>
        <v>187369</v>
      </c>
      <c r="G8" s="37">
        <f>ROUND(((F8/C8-1)*100),1)</f>
        <v>83.7</v>
      </c>
    </row>
    <row r="9" spans="1:7" ht="19.5" hidden="1" customHeight="1">
      <c r="A9" s="29" t="s">
        <v>45</v>
      </c>
      <c r="B9" s="182">
        <f>국가별수입!AD49-국가별수입!AD9</f>
        <v>41634</v>
      </c>
      <c r="C9" s="182">
        <f>국가별수입!AE49-국가별수입!AE9</f>
        <v>80691</v>
      </c>
      <c r="D9" s="182">
        <f>국가별수입!AF49-국가별수입!AF9</f>
        <v>52116</v>
      </c>
      <c r="E9" s="37">
        <f t="shared" ref="E9:E38" si="0">ROUND(((D9/B9-1)*100),1)</f>
        <v>25.2</v>
      </c>
      <c r="F9" s="182">
        <f>국가별수입!AH49-국가별수입!AH9</f>
        <v>114097</v>
      </c>
      <c r="G9" s="37">
        <f t="shared" ref="G9:G38" si="1">ROUND(((F9/C9-1)*100),1)</f>
        <v>41.4</v>
      </c>
    </row>
    <row r="10" spans="1:7" ht="19.5" hidden="1" customHeight="1">
      <c r="A10" s="29" t="s">
        <v>54</v>
      </c>
      <c r="B10" s="182">
        <f>국가별수입!AD50-국가별수입!AD10</f>
        <v>35962</v>
      </c>
      <c r="C10" s="182">
        <f>국가별수입!AE50-국가별수입!AE10</f>
        <v>79256</v>
      </c>
      <c r="D10" s="182">
        <f>국가별수입!AF50-국가별수입!AF10</f>
        <v>28270</v>
      </c>
      <c r="E10" s="37">
        <f t="shared" si="0"/>
        <v>-21.4</v>
      </c>
      <c r="F10" s="182">
        <f>국가별수입!AH50-국가별수입!AH10</f>
        <v>91898</v>
      </c>
      <c r="G10" s="37">
        <f t="shared" si="1"/>
        <v>16</v>
      </c>
    </row>
    <row r="11" spans="1:7" ht="19.5" hidden="1" customHeight="1">
      <c r="A11" s="29" t="s">
        <v>46</v>
      </c>
      <c r="B11" s="182">
        <f>국가별수입!AD51-국가별수입!AD11</f>
        <v>34186</v>
      </c>
      <c r="C11" s="182">
        <f>국가별수입!AE51-국가별수입!AE11</f>
        <v>119390</v>
      </c>
      <c r="D11" s="182">
        <f>국가별수입!AF51-국가별수입!AF11</f>
        <v>23457</v>
      </c>
      <c r="E11" s="37">
        <f t="shared" si="0"/>
        <v>-31.4</v>
      </c>
      <c r="F11" s="182">
        <f>국가별수입!AH51-국가별수입!AH11</f>
        <v>101060</v>
      </c>
      <c r="G11" s="37">
        <f t="shared" si="1"/>
        <v>-15.4</v>
      </c>
    </row>
    <row r="12" spans="1:7" ht="19.5" hidden="1" customHeight="1">
      <c r="A12" s="29" t="s">
        <v>47</v>
      </c>
      <c r="B12" s="182">
        <f>국가별수입!AD52-국가별수입!AD12</f>
        <v>17757</v>
      </c>
      <c r="C12" s="182">
        <f>국가별수입!AE52-국가별수입!AE12</f>
        <v>84734</v>
      </c>
      <c r="D12" s="182">
        <f>국가별수입!AF52-국가별수입!AF12</f>
        <v>15343</v>
      </c>
      <c r="E12" s="37">
        <f t="shared" si="0"/>
        <v>-13.6</v>
      </c>
      <c r="F12" s="182">
        <f>국가별수입!AH52-국가별수입!AH12</f>
        <v>106534</v>
      </c>
      <c r="G12" s="37">
        <f t="shared" si="1"/>
        <v>25.7</v>
      </c>
    </row>
    <row r="13" spans="1:7" ht="19.5" hidden="1" customHeight="1">
      <c r="A13" s="29" t="s">
        <v>77</v>
      </c>
      <c r="B13" s="182">
        <f>국가별수입!AD53-국가별수입!AD13</f>
        <v>11146</v>
      </c>
      <c r="C13" s="182">
        <f>국가별수입!AE53-국가별수입!AE13</f>
        <v>63056</v>
      </c>
      <c r="D13" s="182">
        <f>국가별수입!AF53-국가별수입!AF13</f>
        <v>22787</v>
      </c>
      <c r="E13" s="37">
        <f t="shared" si="0"/>
        <v>104.4</v>
      </c>
      <c r="F13" s="182">
        <f>국가별수입!AH53-국가별수입!AH13</f>
        <v>174531</v>
      </c>
      <c r="G13" s="37">
        <f t="shared" si="1"/>
        <v>176.8</v>
      </c>
    </row>
    <row r="14" spans="1:7" ht="19.5" hidden="1" customHeight="1">
      <c r="A14" s="29" t="s">
        <v>49</v>
      </c>
      <c r="B14" s="182">
        <f>국가별수입!AD54-국가별수입!AD14</f>
        <v>15398</v>
      </c>
      <c r="C14" s="182">
        <f>국가별수입!AE54-국가별수입!AE14</f>
        <v>39114</v>
      </c>
      <c r="D14" s="182">
        <f>국가별수입!AF54-국가별수입!AF14</f>
        <v>11079</v>
      </c>
      <c r="E14" s="37">
        <f t="shared" si="0"/>
        <v>-28</v>
      </c>
      <c r="F14" s="182">
        <f>국가별수입!AH54-국가별수입!AH14</f>
        <v>40089</v>
      </c>
      <c r="G14" s="37">
        <f t="shared" si="1"/>
        <v>2.5</v>
      </c>
    </row>
    <row r="15" spans="1:7" ht="19.5" hidden="1" customHeight="1">
      <c r="A15" s="29" t="s">
        <v>57</v>
      </c>
      <c r="B15" s="182">
        <f>국가별수입!AD55-국가별수입!AD15</f>
        <v>11642</v>
      </c>
      <c r="C15" s="182">
        <f>국가별수입!AE55-국가별수입!AE15</f>
        <v>24243</v>
      </c>
      <c r="D15" s="182">
        <f>국가별수입!AF55-국가별수입!AF15</f>
        <v>12884</v>
      </c>
      <c r="E15" s="37">
        <f t="shared" si="0"/>
        <v>10.7</v>
      </c>
      <c r="F15" s="182">
        <f>국가별수입!AH55-국가별수입!AH15</f>
        <v>32004</v>
      </c>
      <c r="G15" s="37">
        <f t="shared" si="1"/>
        <v>32</v>
      </c>
    </row>
    <row r="16" spans="1:7" ht="19.5" hidden="1" customHeight="1">
      <c r="A16" s="29" t="s">
        <v>79</v>
      </c>
      <c r="B16" s="182">
        <f>국가별수입!AD56-국가별수입!AD16</f>
        <v>8160</v>
      </c>
      <c r="C16" s="182">
        <f>국가별수입!AE56-국가별수입!AE16</f>
        <v>17733</v>
      </c>
      <c r="D16" s="182">
        <f>국가별수입!AF56-국가별수입!AF16</f>
        <v>6878</v>
      </c>
      <c r="E16" s="37">
        <f t="shared" si="0"/>
        <v>-15.7</v>
      </c>
      <c r="F16" s="182">
        <f>국가별수입!AH56-국가별수입!AH16</f>
        <v>16990</v>
      </c>
      <c r="G16" s="37">
        <f t="shared" si="1"/>
        <v>-4.2</v>
      </c>
    </row>
    <row r="17" spans="1:7" ht="19.5" hidden="1" customHeight="1">
      <c r="A17" s="29" t="s">
        <v>48</v>
      </c>
      <c r="B17" s="182">
        <f>국가별수입!AD57-국가별수입!AD17</f>
        <v>11272</v>
      </c>
      <c r="C17" s="182">
        <f>국가별수입!AE57-국가별수입!AE17</f>
        <v>25676</v>
      </c>
      <c r="D17" s="182">
        <f>국가별수입!AF57-국가별수입!AF17</f>
        <v>8826</v>
      </c>
      <c r="E17" s="37">
        <f t="shared" si="0"/>
        <v>-21.7</v>
      </c>
      <c r="F17" s="182">
        <f>국가별수입!AH57-국가별수입!AH17</f>
        <v>26639</v>
      </c>
      <c r="G17" s="37">
        <f t="shared" si="1"/>
        <v>3.8</v>
      </c>
    </row>
    <row r="18" spans="1:7" ht="19.5" hidden="1" customHeight="1">
      <c r="A18" s="29" t="s">
        <v>56</v>
      </c>
      <c r="B18" s="182">
        <f>국가별수입!AD58-국가별수입!AD18</f>
        <v>7343</v>
      </c>
      <c r="C18" s="182">
        <f>국가별수입!AE58-국가별수입!AE18</f>
        <v>19754</v>
      </c>
      <c r="D18" s="182">
        <f>국가별수입!AF58-국가별수입!AF18</f>
        <v>8556</v>
      </c>
      <c r="E18" s="37">
        <f t="shared" si="0"/>
        <v>16.5</v>
      </c>
      <c r="F18" s="182">
        <f>국가별수입!AH58-국가별수입!AH18</f>
        <v>24180</v>
      </c>
      <c r="G18" s="37">
        <f t="shared" si="1"/>
        <v>22.4</v>
      </c>
    </row>
    <row r="19" spans="1:7" ht="19.5" hidden="1" customHeight="1">
      <c r="A19" s="29" t="s">
        <v>44</v>
      </c>
      <c r="B19" s="182">
        <f>국가별수입!AD59-국가별수입!AD19</f>
        <v>7385</v>
      </c>
      <c r="C19" s="182">
        <f>국가별수입!AE59-국가별수입!AE19</f>
        <v>20445</v>
      </c>
      <c r="D19" s="182">
        <f>국가별수입!AF59-국가별수입!AF19</f>
        <v>5179</v>
      </c>
      <c r="E19" s="37">
        <f t="shared" si="0"/>
        <v>-29.9</v>
      </c>
      <c r="F19" s="182">
        <f>국가별수입!AH59-국가별수입!AH19</f>
        <v>21639</v>
      </c>
      <c r="G19" s="37">
        <f t="shared" si="1"/>
        <v>5.8</v>
      </c>
    </row>
    <row r="20" spans="1:7" ht="19.5" hidden="1" customHeight="1">
      <c r="A20" s="29" t="s">
        <v>80</v>
      </c>
      <c r="B20" s="182">
        <f>국가별수입!AD60-국가별수입!AD20</f>
        <v>8018</v>
      </c>
      <c r="C20" s="182">
        <f>국가별수입!AE60-국가별수입!AE20</f>
        <v>16525</v>
      </c>
      <c r="D20" s="182">
        <f>국가별수입!AF60-국가별수입!AF20</f>
        <v>8064</v>
      </c>
      <c r="E20" s="37">
        <f t="shared" si="0"/>
        <v>0.6</v>
      </c>
      <c r="F20" s="182">
        <f>국가별수입!AH60-국가별수입!AH20</f>
        <v>17361</v>
      </c>
      <c r="G20" s="37">
        <f t="shared" si="1"/>
        <v>5.0999999999999996</v>
      </c>
    </row>
    <row r="21" spans="1:7" ht="19.5" hidden="1" customHeight="1">
      <c r="A21" s="29" t="s">
        <v>50</v>
      </c>
      <c r="B21" s="182">
        <f>국가별수입!AD61-국가별수입!AD21</f>
        <v>5305</v>
      </c>
      <c r="C21" s="182">
        <f>국가별수입!AE61-국가별수입!AE21</f>
        <v>24100</v>
      </c>
      <c r="D21" s="182">
        <f>국가별수입!AF61-국가별수입!AF21</f>
        <v>8075</v>
      </c>
      <c r="E21" s="37">
        <f t="shared" si="0"/>
        <v>52.2</v>
      </c>
      <c r="F21" s="182">
        <f>국가별수입!AH61-국가별수입!AH21</f>
        <v>33582</v>
      </c>
      <c r="G21" s="37">
        <f t="shared" si="1"/>
        <v>39.299999999999997</v>
      </c>
    </row>
    <row r="22" spans="1:7" ht="19.5" hidden="1" customHeight="1">
      <c r="A22" s="29" t="s">
        <v>78</v>
      </c>
      <c r="B22" s="182">
        <f>국가별수입!AD62-국가별수입!AD22</f>
        <v>4914</v>
      </c>
      <c r="C22" s="182">
        <f>국가별수입!AE62-국가별수입!AE22</f>
        <v>28267</v>
      </c>
      <c r="D22" s="182">
        <f>국가별수입!AF62-국가별수입!AF22</f>
        <v>7781</v>
      </c>
      <c r="E22" s="37">
        <f t="shared" si="0"/>
        <v>58.3</v>
      </c>
      <c r="F22" s="182">
        <f>국가별수입!AH62-국가별수입!AH22</f>
        <v>61088</v>
      </c>
      <c r="G22" s="37">
        <f t="shared" si="1"/>
        <v>116.1</v>
      </c>
    </row>
    <row r="23" spans="1:7" ht="19.5" hidden="1" customHeight="1">
      <c r="A23" s="29" t="s">
        <v>83</v>
      </c>
      <c r="B23" s="182">
        <f>국가별수입!AD63-국가별수입!AD23</f>
        <v>2704</v>
      </c>
      <c r="C23" s="182">
        <f>국가별수입!AE63-국가별수입!AE23</f>
        <v>5481</v>
      </c>
      <c r="D23" s="182">
        <f>국가별수입!AF63-국가별수입!AF23</f>
        <v>3990</v>
      </c>
      <c r="E23" s="37">
        <f t="shared" si="0"/>
        <v>47.6</v>
      </c>
      <c r="F23" s="182">
        <f>국가별수입!AH63-국가별수입!AH23</f>
        <v>8959</v>
      </c>
      <c r="G23" s="37">
        <f t="shared" si="1"/>
        <v>63.5</v>
      </c>
    </row>
    <row r="24" spans="1:7" ht="19.5" hidden="1" customHeight="1">
      <c r="A24" s="29" t="s">
        <v>58</v>
      </c>
      <c r="B24" s="182">
        <f>국가별수입!AD64-국가별수입!AD24</f>
        <v>4704</v>
      </c>
      <c r="C24" s="182">
        <f>국가별수입!AE64-국가별수입!AE24</f>
        <v>9106</v>
      </c>
      <c r="D24" s="182">
        <f>국가별수입!AF64-국가별수입!AF24</f>
        <v>3531</v>
      </c>
      <c r="E24" s="37">
        <f t="shared" si="0"/>
        <v>-24.9</v>
      </c>
      <c r="F24" s="182">
        <f>국가별수입!AH64-국가별수입!AH24</f>
        <v>14017</v>
      </c>
      <c r="G24" s="37">
        <f t="shared" si="1"/>
        <v>53.9</v>
      </c>
    </row>
    <row r="25" spans="1:7" ht="19.5" hidden="1" customHeight="1">
      <c r="A25" s="29" t="s">
        <v>84</v>
      </c>
      <c r="B25" s="182">
        <f>국가별수입!AD65-국가별수입!AD25</f>
        <v>6396</v>
      </c>
      <c r="C25" s="182">
        <f>국가별수입!AE65-국가별수입!AE25</f>
        <v>12511</v>
      </c>
      <c r="D25" s="182">
        <f>국가별수입!AF65-국가별수입!AF25</f>
        <v>6746</v>
      </c>
      <c r="E25" s="37">
        <f t="shared" si="0"/>
        <v>5.5</v>
      </c>
      <c r="F25" s="182">
        <f>국가별수입!AH65-국가별수입!AH25</f>
        <v>14774</v>
      </c>
      <c r="G25" s="37">
        <f t="shared" si="1"/>
        <v>18.100000000000001</v>
      </c>
    </row>
    <row r="26" spans="1:7" ht="19.5" hidden="1" customHeight="1">
      <c r="A26" s="29" t="s">
        <v>65</v>
      </c>
      <c r="B26" s="182">
        <f>국가별수입!AD66-국가별수입!AD26</f>
        <v>3407</v>
      </c>
      <c r="C26" s="182">
        <f>국가별수입!AE66-국가별수입!AE26</f>
        <v>11951</v>
      </c>
      <c r="D26" s="182">
        <f>국가별수입!AF66-국가별수입!AF26</f>
        <v>4719</v>
      </c>
      <c r="E26" s="37">
        <f t="shared" si="0"/>
        <v>38.5</v>
      </c>
      <c r="F26" s="182">
        <f>국가별수입!AH66-국가별수입!AH26</f>
        <v>13925</v>
      </c>
      <c r="G26" s="37">
        <f t="shared" si="1"/>
        <v>16.5</v>
      </c>
    </row>
    <row r="27" spans="1:7" ht="19.5" hidden="1" customHeight="1">
      <c r="A27" s="29" t="s">
        <v>52</v>
      </c>
      <c r="B27" s="182">
        <f>국가별수입!AD67-국가별수입!AD27</f>
        <v>4933</v>
      </c>
      <c r="C27" s="182">
        <f>국가별수입!AE67-국가별수입!AE27</f>
        <v>15370</v>
      </c>
      <c r="D27" s="182">
        <f>국가별수입!AF67-국가별수입!AF27</f>
        <v>5118</v>
      </c>
      <c r="E27" s="37">
        <f t="shared" si="0"/>
        <v>3.8</v>
      </c>
      <c r="F27" s="182">
        <f>국가별수입!AH67-국가별수입!AH27</f>
        <v>19201</v>
      </c>
      <c r="G27" s="37">
        <f t="shared" si="1"/>
        <v>24.9</v>
      </c>
    </row>
    <row r="28" spans="1:7" ht="19.5" hidden="1" customHeight="1">
      <c r="A28" s="29" t="s">
        <v>64</v>
      </c>
      <c r="B28" s="182">
        <f>국가별수입!AD68-국가별수입!AD28</f>
        <v>1250</v>
      </c>
      <c r="C28" s="182">
        <f>국가별수입!AE68-국가별수입!AE28</f>
        <v>5555</v>
      </c>
      <c r="D28" s="182">
        <f>국가별수입!AF68-국가별수입!AF28</f>
        <v>3187</v>
      </c>
      <c r="E28" s="37">
        <f t="shared" si="0"/>
        <v>155</v>
      </c>
      <c r="F28" s="182">
        <f>국가별수입!AH68-국가별수입!AH28</f>
        <v>9112</v>
      </c>
      <c r="G28" s="37">
        <f t="shared" si="1"/>
        <v>64</v>
      </c>
    </row>
    <row r="29" spans="1:7" s="167" customFormat="1" ht="19.5" hidden="1" customHeight="1">
      <c r="A29" s="29" t="s">
        <v>51</v>
      </c>
      <c r="B29" s="182">
        <f>국가별수입!AD69-국가별수입!AD29</f>
        <v>2589</v>
      </c>
      <c r="C29" s="182">
        <f>국가별수입!AE69-국가별수입!AE29</f>
        <v>16101</v>
      </c>
      <c r="D29" s="182">
        <f>국가별수입!AF69-국가별수입!AF29</f>
        <v>1658</v>
      </c>
      <c r="E29" s="37">
        <f t="shared" si="0"/>
        <v>-36</v>
      </c>
      <c r="F29" s="182">
        <f>국가별수입!AH69-국가별수입!AH29</f>
        <v>10227</v>
      </c>
      <c r="G29" s="37">
        <f t="shared" si="1"/>
        <v>-36.5</v>
      </c>
    </row>
    <row r="30" spans="1:7" ht="19.5" hidden="1" customHeight="1">
      <c r="A30" s="29" t="s">
        <v>61</v>
      </c>
      <c r="B30" s="182">
        <f>국가별수입!AD70-국가별수입!AD30</f>
        <v>3014</v>
      </c>
      <c r="C30" s="182">
        <f>국가별수입!AE70-국가별수입!AE30</f>
        <v>22854</v>
      </c>
      <c r="D30" s="182">
        <f>국가별수입!AF70-국가별수입!AF30</f>
        <v>2843</v>
      </c>
      <c r="E30" s="37">
        <f t="shared" si="0"/>
        <v>-5.7</v>
      </c>
      <c r="F30" s="182">
        <f>국가별수입!AH70-국가별수입!AH30</f>
        <v>18285</v>
      </c>
      <c r="G30" s="37">
        <f t="shared" si="1"/>
        <v>-20</v>
      </c>
    </row>
    <row r="31" spans="1:7" ht="19.5" hidden="1" customHeight="1">
      <c r="A31" s="29" t="s">
        <v>53</v>
      </c>
      <c r="B31" s="182">
        <f>국가별수입!AD71-국가별수입!AD31</f>
        <v>1492</v>
      </c>
      <c r="C31" s="182">
        <f>국가별수입!AE71-국가별수입!AE31</f>
        <v>3800</v>
      </c>
      <c r="D31" s="182">
        <f>국가별수입!AF71-국가별수입!AF31</f>
        <v>2145</v>
      </c>
      <c r="E31" s="37">
        <f t="shared" si="0"/>
        <v>43.8</v>
      </c>
      <c r="F31" s="182">
        <f>국가별수입!AH71-국가별수입!AH31</f>
        <v>6400</v>
      </c>
      <c r="G31" s="37">
        <f t="shared" si="1"/>
        <v>68.400000000000006</v>
      </c>
    </row>
    <row r="32" spans="1:7" ht="19.5" hidden="1" customHeight="1">
      <c r="A32" s="29" t="s">
        <v>85</v>
      </c>
      <c r="B32" s="182">
        <f>국가별수입!AD72-국가별수입!AD32</f>
        <v>1652</v>
      </c>
      <c r="C32" s="182">
        <f>국가별수입!AE72-국가별수입!AE32</f>
        <v>5239</v>
      </c>
      <c r="D32" s="182">
        <f>국가별수입!AF72-국가별수입!AF32</f>
        <v>3221</v>
      </c>
      <c r="E32" s="37">
        <f t="shared" si="0"/>
        <v>95</v>
      </c>
      <c r="F32" s="182">
        <f>국가별수입!AH72-국가별수입!AH32</f>
        <v>9352</v>
      </c>
      <c r="G32" s="37">
        <f t="shared" si="1"/>
        <v>78.5</v>
      </c>
    </row>
    <row r="33" spans="1:7" ht="19.5" hidden="1" customHeight="1">
      <c r="A33" s="29" t="s">
        <v>81</v>
      </c>
      <c r="B33" s="182">
        <f>국가별수입!AD73-국가별수입!AD33</f>
        <v>1738</v>
      </c>
      <c r="C33" s="182">
        <f>국가별수입!AE73-국가별수입!AE33</f>
        <v>6769</v>
      </c>
      <c r="D33" s="182">
        <f>국가별수입!AF73-국가별수입!AF33</f>
        <v>561</v>
      </c>
      <c r="E33" s="37">
        <f t="shared" si="0"/>
        <v>-67.7</v>
      </c>
      <c r="F33" s="182">
        <f>국가별수입!AH73-국가별수입!AH33</f>
        <v>1540</v>
      </c>
      <c r="G33" s="37">
        <f t="shared" si="1"/>
        <v>-77.2</v>
      </c>
    </row>
    <row r="34" spans="1:7" ht="19.5" hidden="1" customHeight="1">
      <c r="A34" s="29" t="s">
        <v>82</v>
      </c>
      <c r="B34" s="182">
        <f>국가별수입!AD74-국가별수입!AD34</f>
        <v>1257</v>
      </c>
      <c r="C34" s="182">
        <f>국가별수입!AE74-국가별수입!AE34</f>
        <v>1955</v>
      </c>
      <c r="D34" s="182">
        <f>국가별수입!AF74-국가별수입!AF34</f>
        <v>1123</v>
      </c>
      <c r="E34" s="37">
        <f t="shared" si="0"/>
        <v>-10.7</v>
      </c>
      <c r="F34" s="182">
        <f>국가별수입!AH74-국가별수입!AH34</f>
        <v>4098</v>
      </c>
      <c r="G34" s="37">
        <f t="shared" si="1"/>
        <v>109.6</v>
      </c>
    </row>
    <row r="35" spans="1:7" ht="19.5" hidden="1" customHeight="1">
      <c r="A35" s="29" t="s">
        <v>505</v>
      </c>
      <c r="B35" s="182">
        <f>국가별수입!AD75-국가별수입!AD35</f>
        <v>2469</v>
      </c>
      <c r="C35" s="182">
        <f>국가별수입!AE75-국가별수입!AE35</f>
        <v>11057</v>
      </c>
      <c r="D35" s="182">
        <f>국가별수입!AF75-국가별수입!AF35</f>
        <v>1143</v>
      </c>
      <c r="E35" s="37">
        <f t="shared" si="0"/>
        <v>-53.7</v>
      </c>
      <c r="F35" s="182">
        <f>국가별수입!AH75-국가별수입!AH35</f>
        <v>15201</v>
      </c>
      <c r="G35" s="37">
        <f t="shared" si="1"/>
        <v>37.5</v>
      </c>
    </row>
    <row r="36" spans="1:7" ht="19.5" hidden="1" customHeight="1">
      <c r="A36" s="29" t="s">
        <v>506</v>
      </c>
      <c r="B36" s="182">
        <f>국가별수입!AD76-국가별수입!AD36</f>
        <v>1403</v>
      </c>
      <c r="C36" s="182">
        <f>국가별수입!AE76-국가별수입!AE36</f>
        <v>1909</v>
      </c>
      <c r="D36" s="182">
        <f>국가별수입!AF76-국가별수입!AF36</f>
        <v>1171</v>
      </c>
      <c r="E36" s="37">
        <f t="shared" si="0"/>
        <v>-16.5</v>
      </c>
      <c r="F36" s="182">
        <f>국가별수입!AH76-국가별수입!AH36</f>
        <v>1992</v>
      </c>
      <c r="G36" s="37">
        <f t="shared" si="1"/>
        <v>4.3</v>
      </c>
    </row>
    <row r="37" spans="1:7" ht="19.5" hidden="1" customHeight="1">
      <c r="A37" s="29" t="s">
        <v>233</v>
      </c>
      <c r="B37" s="182">
        <f>국가별수입!AD77-국가별수입!AD37</f>
        <v>2919</v>
      </c>
      <c r="C37" s="182">
        <f>국가별수입!AE77-국가별수입!AE37</f>
        <v>2966</v>
      </c>
      <c r="D37" s="182">
        <f>국가별수입!AF77-국가별수입!AF37</f>
        <v>3232</v>
      </c>
      <c r="E37" s="37">
        <f t="shared" si="0"/>
        <v>10.7</v>
      </c>
      <c r="F37" s="182">
        <f>국가별수입!AH77-국가별수입!AH37</f>
        <v>6522</v>
      </c>
      <c r="G37" s="37">
        <f t="shared" si="1"/>
        <v>119.9</v>
      </c>
    </row>
    <row r="38" spans="1:7" ht="19.5" hidden="1" customHeight="1">
      <c r="A38" s="52" t="s">
        <v>18</v>
      </c>
      <c r="B38" s="33">
        <f t="shared" ref="B38:D38" si="2">B39-SUM(B8:B37)</f>
        <v>21672</v>
      </c>
      <c r="C38" s="33">
        <f t="shared" si="2"/>
        <v>156219</v>
      </c>
      <c r="D38" s="33">
        <f t="shared" si="2"/>
        <v>25419</v>
      </c>
      <c r="E38" s="38">
        <f t="shared" si="0"/>
        <v>17.3</v>
      </c>
      <c r="F38" s="33">
        <f>F39-SUM(F8:F37)</f>
        <v>144537</v>
      </c>
      <c r="G38" s="38">
        <f t="shared" si="1"/>
        <v>-7.5</v>
      </c>
    </row>
    <row r="39" spans="1:7" ht="19.5" hidden="1" customHeight="1">
      <c r="A39" s="55" t="s">
        <v>72</v>
      </c>
      <c r="B39" s="382">
        <f>국가별수입!AD79-국가별수입!AD39</f>
        <v>310727</v>
      </c>
      <c r="C39" s="382">
        <f>국가별수입!AE79-국가별수입!AE39</f>
        <v>1033841</v>
      </c>
      <c r="D39" s="382">
        <f>국가별수입!AF79-국가별수입!AF39</f>
        <v>333880</v>
      </c>
      <c r="E39" s="220">
        <f t="shared" ref="E39" si="3">ROUND(((D39/B39-1)*100),1)</f>
        <v>7.5</v>
      </c>
      <c r="F39" s="308">
        <f>국가별수입!AH79-국가별수입!AH39</f>
        <v>1347203</v>
      </c>
      <c r="G39" s="220">
        <f t="shared" ref="G39" si="4">ROUND(((F39/C39-1)*100),1)</f>
        <v>30.3</v>
      </c>
    </row>
    <row r="40" spans="1:7" hidden="1"/>
    <row r="41" spans="1:7" s="605" customFormat="1" ht="22.5" hidden="1">
      <c r="A41" s="831" t="s">
        <v>584</v>
      </c>
      <c r="B41" s="831"/>
      <c r="C41" s="831"/>
      <c r="D41" s="831"/>
      <c r="E41" s="831"/>
      <c r="F41" s="831"/>
      <c r="G41" s="831"/>
    </row>
    <row r="42" spans="1:7" s="605" customFormat="1" hidden="1">
      <c r="A42" s="43"/>
      <c r="B42" s="612"/>
      <c r="C42" s="612"/>
      <c r="D42" s="612"/>
      <c r="E42" s="45"/>
      <c r="F42" s="612"/>
      <c r="G42" s="45"/>
    </row>
    <row r="43" spans="1:7" s="605" customFormat="1" hidden="1">
      <c r="A43" s="43"/>
      <c r="B43" s="612"/>
      <c r="C43" s="612"/>
      <c r="D43" s="612"/>
      <c r="E43" s="45"/>
      <c r="F43" s="830" t="s">
        <v>73</v>
      </c>
      <c r="G43" s="830"/>
    </row>
    <row r="44" spans="1:7" s="605" customFormat="1" ht="21.75" hidden="1" customHeight="1">
      <c r="A44" s="749" t="s">
        <v>36</v>
      </c>
      <c r="B44" s="749" t="s">
        <v>583</v>
      </c>
      <c r="C44" s="749"/>
      <c r="D44" s="749"/>
      <c r="E44" s="749"/>
      <c r="F44" s="749"/>
      <c r="G44" s="749"/>
    </row>
    <row r="45" spans="1:7" s="605" customFormat="1" ht="21" hidden="1" customHeight="1">
      <c r="A45" s="749"/>
      <c r="B45" s="749" t="s">
        <v>419</v>
      </c>
      <c r="C45" s="749"/>
      <c r="D45" s="749" t="s">
        <v>504</v>
      </c>
      <c r="E45" s="749"/>
      <c r="F45" s="749"/>
      <c r="G45" s="749"/>
    </row>
    <row r="46" spans="1:7" s="605" customFormat="1" hidden="1">
      <c r="A46" s="749"/>
      <c r="B46" s="749" t="s">
        <v>37</v>
      </c>
      <c r="C46" s="749" t="s">
        <v>38</v>
      </c>
      <c r="D46" s="832" t="s">
        <v>39</v>
      </c>
      <c r="E46" s="46"/>
      <c r="F46" s="832" t="s">
        <v>38</v>
      </c>
      <c r="G46" s="46"/>
    </row>
    <row r="47" spans="1:7" s="605" customFormat="1" ht="17.25" hidden="1" thickBot="1">
      <c r="A47" s="833"/>
      <c r="B47" s="833"/>
      <c r="C47" s="833"/>
      <c r="D47" s="833"/>
      <c r="E47" s="47" t="s">
        <v>42</v>
      </c>
      <c r="F47" s="833"/>
      <c r="G47" s="47" t="s">
        <v>42</v>
      </c>
    </row>
    <row r="48" spans="1:7" s="605" customFormat="1" ht="19.5" hidden="1" customHeight="1" thickTop="1">
      <c r="A48" s="610" t="s">
        <v>43</v>
      </c>
      <c r="B48" s="613">
        <f>국가별수입!AD88-국가별수입!AD48</f>
        <v>53522</v>
      </c>
      <c r="C48" s="613">
        <f>국가별수입!AE88-국가별수입!AE48</f>
        <v>196936</v>
      </c>
      <c r="D48" s="613">
        <f>국가별수입!AF88-국가별수입!AF48</f>
        <v>59483</v>
      </c>
      <c r="E48" s="37">
        <f>ROUND(((D48/B48-1)*100),1)</f>
        <v>11.1</v>
      </c>
      <c r="F48" s="613">
        <f>국가별수입!AH88-국가별수입!AH48</f>
        <v>261278</v>
      </c>
      <c r="G48" s="37">
        <f>ROUND(((F48/C48-1)*100),1)</f>
        <v>32.700000000000003</v>
      </c>
    </row>
    <row r="49" spans="1:7" s="605" customFormat="1" ht="19.5" hidden="1" customHeight="1">
      <c r="A49" s="610" t="s">
        <v>45</v>
      </c>
      <c r="B49" s="613">
        <f>국가별수입!AD89-국가별수입!AD49</f>
        <v>50729</v>
      </c>
      <c r="C49" s="613">
        <f>국가별수입!AE89-국가별수입!AE49</f>
        <v>93424</v>
      </c>
      <c r="D49" s="613">
        <f>국가별수입!AF89-국가별수입!AF49</f>
        <v>70748</v>
      </c>
      <c r="E49" s="37">
        <f t="shared" ref="E49:E79" si="5">ROUND(((D49/B49-1)*100),1)</f>
        <v>39.5</v>
      </c>
      <c r="F49" s="613">
        <f>국가별수입!AH89-국가별수입!AH49</f>
        <v>162060</v>
      </c>
      <c r="G49" s="37">
        <f t="shared" ref="G49:G79" si="6">ROUND(((F49/C49-1)*100),1)</f>
        <v>73.5</v>
      </c>
    </row>
    <row r="50" spans="1:7" s="605" customFormat="1" ht="19.5" hidden="1" customHeight="1">
      <c r="A50" s="610" t="s">
        <v>54</v>
      </c>
      <c r="B50" s="613">
        <f>국가별수입!AD90-국가별수입!AD50</f>
        <v>38667</v>
      </c>
      <c r="C50" s="613">
        <f>국가별수입!AE90-국가별수입!AE50</f>
        <v>89905</v>
      </c>
      <c r="D50" s="613">
        <f>국가별수입!AF90-국가별수입!AF50</f>
        <v>39458</v>
      </c>
      <c r="E50" s="37">
        <f t="shared" si="5"/>
        <v>2</v>
      </c>
      <c r="F50" s="613">
        <f>국가별수입!AH90-국가별수입!AH50</f>
        <v>128760</v>
      </c>
      <c r="G50" s="37">
        <f t="shared" si="6"/>
        <v>43.2</v>
      </c>
    </row>
    <row r="51" spans="1:7" s="605" customFormat="1" ht="19.5" hidden="1" customHeight="1">
      <c r="A51" s="610" t="s">
        <v>46</v>
      </c>
      <c r="B51" s="613">
        <f>국가별수입!AD91-국가별수입!AD51</f>
        <v>35033</v>
      </c>
      <c r="C51" s="613">
        <f>국가별수입!AE91-국가별수입!AE51</f>
        <v>132120</v>
      </c>
      <c r="D51" s="613">
        <f>국가별수입!AF91-국가별수입!AF51</f>
        <v>33024</v>
      </c>
      <c r="E51" s="37">
        <f t="shared" si="5"/>
        <v>-5.7</v>
      </c>
      <c r="F51" s="613">
        <f>국가별수입!AH91-국가별수입!AH51</f>
        <v>140191</v>
      </c>
      <c r="G51" s="37">
        <f t="shared" si="6"/>
        <v>6.1</v>
      </c>
    </row>
    <row r="52" spans="1:7" s="605" customFormat="1" ht="19.5" hidden="1" customHeight="1">
      <c r="A52" s="610" t="s">
        <v>47</v>
      </c>
      <c r="B52" s="613">
        <f>국가별수입!AD92-국가별수입!AD52</f>
        <v>18333</v>
      </c>
      <c r="C52" s="613">
        <f>국가별수입!AE92-국가별수입!AE52</f>
        <v>100817</v>
      </c>
      <c r="D52" s="613">
        <f>국가별수입!AF92-국가별수입!AF52</f>
        <v>20523</v>
      </c>
      <c r="E52" s="37">
        <f t="shared" si="5"/>
        <v>11.9</v>
      </c>
      <c r="F52" s="613">
        <f>국가별수입!AH92-국가별수입!AH52</f>
        <v>137314</v>
      </c>
      <c r="G52" s="37">
        <f t="shared" si="6"/>
        <v>36.200000000000003</v>
      </c>
    </row>
    <row r="53" spans="1:7" s="605" customFormat="1" ht="19.5" hidden="1" customHeight="1">
      <c r="A53" s="610" t="s">
        <v>77</v>
      </c>
      <c r="B53" s="613">
        <f>국가별수입!AD93-국가별수입!AD53</f>
        <v>19243</v>
      </c>
      <c r="C53" s="613">
        <f>국가별수입!AE93-국가별수입!AE53</f>
        <v>101743</v>
      </c>
      <c r="D53" s="613">
        <f>국가별수입!AF93-국가별수입!AF53</f>
        <v>21031</v>
      </c>
      <c r="E53" s="37">
        <f t="shared" si="5"/>
        <v>9.3000000000000007</v>
      </c>
      <c r="F53" s="613">
        <f>국가별수입!AH93-국가별수입!AH53</f>
        <v>169697</v>
      </c>
      <c r="G53" s="37">
        <f t="shared" si="6"/>
        <v>66.8</v>
      </c>
    </row>
    <row r="54" spans="1:7" s="605" customFormat="1" ht="19.5" hidden="1" customHeight="1">
      <c r="A54" s="610" t="s">
        <v>49</v>
      </c>
      <c r="B54" s="613">
        <f>국가별수입!AD94-국가별수입!AD54</f>
        <v>17222</v>
      </c>
      <c r="C54" s="613">
        <f>국가별수입!AE94-국가별수입!AE54</f>
        <v>45628</v>
      </c>
      <c r="D54" s="613">
        <f>국가별수입!AF94-국가별수입!AF54</f>
        <v>16341</v>
      </c>
      <c r="E54" s="37">
        <f t="shared" si="5"/>
        <v>-5.0999999999999996</v>
      </c>
      <c r="F54" s="613">
        <f>국가별수입!AH94-국가별수입!AH54</f>
        <v>57556</v>
      </c>
      <c r="G54" s="37">
        <f t="shared" si="6"/>
        <v>26.1</v>
      </c>
    </row>
    <row r="55" spans="1:7" s="605" customFormat="1" ht="19.5" hidden="1" customHeight="1">
      <c r="A55" s="610" t="s">
        <v>57</v>
      </c>
      <c r="B55" s="613">
        <f>국가별수입!AD95-국가별수입!AD55</f>
        <v>12898</v>
      </c>
      <c r="C55" s="613">
        <f>국가별수입!AE95-국가별수입!AE55</f>
        <v>25127</v>
      </c>
      <c r="D55" s="613">
        <f>국가별수입!AF95-국가별수입!AF55</f>
        <v>16758</v>
      </c>
      <c r="E55" s="37">
        <f t="shared" si="5"/>
        <v>29.9</v>
      </c>
      <c r="F55" s="613">
        <f>국가별수입!AH95-국가별수입!AH55</f>
        <v>39656</v>
      </c>
      <c r="G55" s="37">
        <f t="shared" si="6"/>
        <v>57.8</v>
      </c>
    </row>
    <row r="56" spans="1:7" s="605" customFormat="1" ht="19.5" hidden="1" customHeight="1">
      <c r="A56" s="610" t="s">
        <v>79</v>
      </c>
      <c r="B56" s="613">
        <f>국가별수입!AD96-국가별수입!AD56</f>
        <v>12879</v>
      </c>
      <c r="C56" s="613">
        <f>국가별수입!AE96-국가별수입!AE56</f>
        <v>27048</v>
      </c>
      <c r="D56" s="613">
        <f>국가별수입!AF96-국가별수입!AF56</f>
        <v>12077</v>
      </c>
      <c r="E56" s="37">
        <f t="shared" si="5"/>
        <v>-6.2</v>
      </c>
      <c r="F56" s="613">
        <f>국가별수입!AH96-국가별수입!AH56</f>
        <v>28494</v>
      </c>
      <c r="G56" s="37">
        <f t="shared" si="6"/>
        <v>5.3</v>
      </c>
    </row>
    <row r="57" spans="1:7" s="605" customFormat="1" ht="19.5" hidden="1" customHeight="1">
      <c r="A57" s="610" t="s">
        <v>48</v>
      </c>
      <c r="B57" s="613">
        <f>국가별수입!AD97-국가별수입!AD57</f>
        <v>9749</v>
      </c>
      <c r="C57" s="613">
        <f>국가별수입!AE97-국가별수입!AE57</f>
        <v>24632</v>
      </c>
      <c r="D57" s="613">
        <f>국가별수입!AF97-국가별수입!AF57</f>
        <v>10128</v>
      </c>
      <c r="E57" s="37">
        <f t="shared" si="5"/>
        <v>3.9</v>
      </c>
      <c r="F57" s="613">
        <f>국가별수입!AH97-국가별수입!AH57</f>
        <v>30512</v>
      </c>
      <c r="G57" s="37">
        <f t="shared" si="6"/>
        <v>23.9</v>
      </c>
    </row>
    <row r="58" spans="1:7" s="605" customFormat="1" ht="19.5" hidden="1" customHeight="1">
      <c r="A58" s="610" t="s">
        <v>56</v>
      </c>
      <c r="B58" s="613">
        <f>국가별수입!AD98-국가별수입!AD58</f>
        <v>6483</v>
      </c>
      <c r="C58" s="613">
        <f>국가별수입!AE98-국가별수입!AE58</f>
        <v>15363</v>
      </c>
      <c r="D58" s="613">
        <f>국가별수입!AF98-국가별수입!AF58</f>
        <v>8179</v>
      </c>
      <c r="E58" s="37">
        <f t="shared" si="5"/>
        <v>26.2</v>
      </c>
      <c r="F58" s="613">
        <f>국가별수입!AH98-국가별수입!AH58</f>
        <v>24590</v>
      </c>
      <c r="G58" s="37">
        <f t="shared" si="6"/>
        <v>60.1</v>
      </c>
    </row>
    <row r="59" spans="1:7" s="605" customFormat="1" ht="19.5" hidden="1" customHeight="1">
      <c r="A59" s="610" t="s">
        <v>44</v>
      </c>
      <c r="B59" s="613">
        <f>국가별수입!AD99-국가별수입!AD59</f>
        <v>7520</v>
      </c>
      <c r="C59" s="613">
        <f>국가별수입!AE99-국가별수입!AE59</f>
        <v>24387</v>
      </c>
      <c r="D59" s="613">
        <f>국가별수입!AF99-국가별수입!AF59</f>
        <v>7770</v>
      </c>
      <c r="E59" s="37">
        <f t="shared" si="5"/>
        <v>3.3</v>
      </c>
      <c r="F59" s="613">
        <f>국가별수입!AH99-국가별수입!AH59</f>
        <v>32386</v>
      </c>
      <c r="G59" s="37">
        <f t="shared" si="6"/>
        <v>32.799999999999997</v>
      </c>
    </row>
    <row r="60" spans="1:7" s="605" customFormat="1" ht="19.5" hidden="1" customHeight="1">
      <c r="A60" s="610" t="s">
        <v>80</v>
      </c>
      <c r="B60" s="613">
        <f>국가별수입!AD100-국가별수입!AD60</f>
        <v>4095</v>
      </c>
      <c r="C60" s="613">
        <f>국가별수입!AE100-국가별수입!AE60</f>
        <v>8264</v>
      </c>
      <c r="D60" s="613">
        <f>국가별수입!AF100-국가별수입!AF60</f>
        <v>10268</v>
      </c>
      <c r="E60" s="37">
        <f t="shared" si="5"/>
        <v>150.69999999999999</v>
      </c>
      <c r="F60" s="613">
        <f>국가별수입!AH100-국가별수입!AH60</f>
        <v>23075</v>
      </c>
      <c r="G60" s="37">
        <f t="shared" si="6"/>
        <v>179.2</v>
      </c>
    </row>
    <row r="61" spans="1:7" s="605" customFormat="1" ht="19.5" hidden="1" customHeight="1">
      <c r="A61" s="610" t="s">
        <v>50</v>
      </c>
      <c r="B61" s="613">
        <f>국가별수입!AD101-국가별수입!AD61</f>
        <v>5592</v>
      </c>
      <c r="C61" s="613">
        <f>국가별수입!AE101-국가별수입!AE61</f>
        <v>25729</v>
      </c>
      <c r="D61" s="613">
        <f>국가별수입!AF101-국가별수입!AF61</f>
        <v>9025</v>
      </c>
      <c r="E61" s="37">
        <f t="shared" si="5"/>
        <v>61.4</v>
      </c>
      <c r="F61" s="613">
        <f>국가별수입!AH101-국가별수입!AH61</f>
        <v>43456</v>
      </c>
      <c r="G61" s="37">
        <f t="shared" si="6"/>
        <v>68.900000000000006</v>
      </c>
    </row>
    <row r="62" spans="1:7" s="605" customFormat="1" ht="19.5" hidden="1" customHeight="1">
      <c r="A62" s="610" t="s">
        <v>78</v>
      </c>
      <c r="B62" s="613">
        <f>국가별수입!AD102-국가별수입!AD62</f>
        <v>5711</v>
      </c>
      <c r="C62" s="613">
        <f>국가별수입!AE102-국가별수입!AE62</f>
        <v>32109</v>
      </c>
      <c r="D62" s="613">
        <f>국가별수입!AF102-국가별수입!AF62</f>
        <v>9632</v>
      </c>
      <c r="E62" s="37">
        <f t="shared" si="5"/>
        <v>68.7</v>
      </c>
      <c r="F62" s="613">
        <f>국가별수입!AH102-국가별수입!AH62</f>
        <v>82361</v>
      </c>
      <c r="G62" s="37">
        <f t="shared" si="6"/>
        <v>156.5</v>
      </c>
    </row>
    <row r="63" spans="1:7" s="605" customFormat="1" ht="19.5" hidden="1" customHeight="1">
      <c r="A63" s="610" t="s">
        <v>83</v>
      </c>
      <c r="B63" s="613">
        <f>국가별수입!AD103-국가별수입!AD63</f>
        <v>2218</v>
      </c>
      <c r="C63" s="613">
        <f>국가별수입!AE103-국가별수입!AE63</f>
        <v>4784</v>
      </c>
      <c r="D63" s="613">
        <f>국가별수입!AF103-국가별수입!AF63</f>
        <v>6075</v>
      </c>
      <c r="E63" s="37">
        <f t="shared" si="5"/>
        <v>173.9</v>
      </c>
      <c r="F63" s="613">
        <f>국가별수입!AH103-국가별수입!AH63</f>
        <v>14114</v>
      </c>
      <c r="G63" s="37">
        <f t="shared" si="6"/>
        <v>195</v>
      </c>
    </row>
    <row r="64" spans="1:7" s="605" customFormat="1" ht="19.5" hidden="1" customHeight="1">
      <c r="A64" s="610" t="s">
        <v>58</v>
      </c>
      <c r="B64" s="613">
        <f>국가별수입!AD104-국가별수입!AD64</f>
        <v>4944</v>
      </c>
      <c r="C64" s="613">
        <f>국가별수입!AE104-국가별수입!AE64</f>
        <v>9563</v>
      </c>
      <c r="D64" s="613">
        <f>국가별수입!AF104-국가별수입!AF64</f>
        <v>7405</v>
      </c>
      <c r="E64" s="37">
        <f t="shared" si="5"/>
        <v>49.8</v>
      </c>
      <c r="F64" s="613">
        <f>국가별수입!AH104-국가별수입!AH64</f>
        <v>26636</v>
      </c>
      <c r="G64" s="37">
        <f t="shared" si="6"/>
        <v>178.5</v>
      </c>
    </row>
    <row r="65" spans="1:7" s="605" customFormat="1" ht="19.5" hidden="1" customHeight="1">
      <c r="A65" s="610" t="s">
        <v>84</v>
      </c>
      <c r="B65" s="613">
        <f>국가별수입!AD105-국가별수입!AD65</f>
        <v>4805</v>
      </c>
      <c r="C65" s="613">
        <f>국가별수입!AE105-국가별수입!AE65</f>
        <v>9488</v>
      </c>
      <c r="D65" s="613">
        <f>국가별수입!AF105-국가별수입!AF65</f>
        <v>7609</v>
      </c>
      <c r="E65" s="37">
        <f t="shared" si="5"/>
        <v>58.4</v>
      </c>
      <c r="F65" s="613">
        <f>국가별수입!AH105-국가별수입!AH65</f>
        <v>17485</v>
      </c>
      <c r="G65" s="37">
        <f t="shared" si="6"/>
        <v>84.3</v>
      </c>
    </row>
    <row r="66" spans="1:7" s="605" customFormat="1" ht="19.5" hidden="1" customHeight="1">
      <c r="A66" s="610" t="s">
        <v>65</v>
      </c>
      <c r="B66" s="613">
        <f>국가별수입!AD106-국가별수입!AD66</f>
        <v>2619</v>
      </c>
      <c r="C66" s="613">
        <f>국가별수입!AE106-국가별수입!AE66</f>
        <v>10210</v>
      </c>
      <c r="D66" s="613">
        <f>국가별수입!AF106-국가별수입!AF66</f>
        <v>6235</v>
      </c>
      <c r="E66" s="37">
        <f t="shared" si="5"/>
        <v>138.1</v>
      </c>
      <c r="F66" s="613">
        <f>국가별수입!AH106-국가별수입!AH66</f>
        <v>31503</v>
      </c>
      <c r="G66" s="37">
        <f t="shared" si="6"/>
        <v>208.6</v>
      </c>
    </row>
    <row r="67" spans="1:7" s="605" customFormat="1" ht="19.5" hidden="1" customHeight="1">
      <c r="A67" s="610" t="s">
        <v>52</v>
      </c>
      <c r="B67" s="613">
        <f>국가별수입!AD107-국가별수입!AD67</f>
        <v>4633</v>
      </c>
      <c r="C67" s="613">
        <f>국가별수입!AE107-국가별수입!AE67</f>
        <v>14507</v>
      </c>
      <c r="D67" s="613">
        <f>국가별수입!AF107-국가별수입!AF67</f>
        <v>6403</v>
      </c>
      <c r="E67" s="37">
        <f t="shared" si="5"/>
        <v>38.200000000000003</v>
      </c>
      <c r="F67" s="613">
        <f>국가별수입!AH107-국가별수입!AH67</f>
        <v>31702</v>
      </c>
      <c r="G67" s="37">
        <f t="shared" si="6"/>
        <v>118.5</v>
      </c>
    </row>
    <row r="68" spans="1:7" s="605" customFormat="1" ht="19.5" hidden="1" customHeight="1">
      <c r="A68" s="610" t="s">
        <v>64</v>
      </c>
      <c r="B68" s="613">
        <f>국가별수입!AD108-국가별수입!AD68</f>
        <v>2443</v>
      </c>
      <c r="C68" s="613">
        <f>국가별수입!AE108-국가별수입!AE68</f>
        <v>8202</v>
      </c>
      <c r="D68" s="613">
        <f>국가별수입!AF108-국가별수입!AF68</f>
        <v>4362</v>
      </c>
      <c r="E68" s="37">
        <f t="shared" si="5"/>
        <v>78.599999999999994</v>
      </c>
      <c r="F68" s="613">
        <f>국가별수입!AH108-국가별수입!AH68</f>
        <v>11386</v>
      </c>
      <c r="G68" s="37">
        <f t="shared" si="6"/>
        <v>38.799999999999997</v>
      </c>
    </row>
    <row r="69" spans="1:7" s="167" customFormat="1" ht="19.5" hidden="1" customHeight="1">
      <c r="A69" s="610" t="s">
        <v>51</v>
      </c>
      <c r="B69" s="613">
        <f>국가별수입!AD109-국가별수입!AD69</f>
        <v>2891</v>
      </c>
      <c r="C69" s="613">
        <f>국가별수입!AE109-국가별수입!AE69</f>
        <v>32023</v>
      </c>
      <c r="D69" s="613">
        <f>국가별수입!AF109-국가별수입!AF69</f>
        <v>2423</v>
      </c>
      <c r="E69" s="37">
        <f t="shared" si="5"/>
        <v>-16.2</v>
      </c>
      <c r="F69" s="613">
        <f>국가별수입!AH109-국가별수입!AH69</f>
        <v>29452</v>
      </c>
      <c r="G69" s="37">
        <f t="shared" si="6"/>
        <v>-8</v>
      </c>
    </row>
    <row r="70" spans="1:7" s="605" customFormat="1" ht="19.5" hidden="1" customHeight="1">
      <c r="A70" s="610" t="s">
        <v>61</v>
      </c>
      <c r="B70" s="613">
        <f>국가별수입!AD110-국가별수입!AD70</f>
        <v>3669</v>
      </c>
      <c r="C70" s="613">
        <f>국가별수입!AE110-국가별수입!AE70</f>
        <v>26539</v>
      </c>
      <c r="D70" s="613">
        <f>국가별수입!AF110-국가별수입!AF70</f>
        <v>2839</v>
      </c>
      <c r="E70" s="37">
        <f t="shared" si="5"/>
        <v>-22.6</v>
      </c>
      <c r="F70" s="613">
        <f>국가별수입!AH110-국가별수입!AH70</f>
        <v>21167</v>
      </c>
      <c r="G70" s="37">
        <f t="shared" si="6"/>
        <v>-20.2</v>
      </c>
    </row>
    <row r="71" spans="1:7" s="605" customFormat="1" ht="19.5" hidden="1" customHeight="1">
      <c r="A71" s="610" t="s">
        <v>53</v>
      </c>
      <c r="B71" s="613">
        <f>국가별수입!AD111-국가별수입!AD71</f>
        <v>2165</v>
      </c>
      <c r="C71" s="613">
        <f>국가별수입!AE111-국가별수입!AE71</f>
        <v>4047</v>
      </c>
      <c r="D71" s="613">
        <f>국가별수입!AF111-국가별수입!AF71</f>
        <v>2321</v>
      </c>
      <c r="E71" s="37">
        <f t="shared" si="5"/>
        <v>7.2</v>
      </c>
      <c r="F71" s="613">
        <f>국가별수입!AH111-국가별수입!AH71</f>
        <v>6875</v>
      </c>
      <c r="G71" s="37">
        <f t="shared" si="6"/>
        <v>69.900000000000006</v>
      </c>
    </row>
    <row r="72" spans="1:7" s="605" customFormat="1" ht="19.5" hidden="1" customHeight="1">
      <c r="A72" s="610" t="s">
        <v>85</v>
      </c>
      <c r="B72" s="613">
        <f>국가별수입!AD112-국가별수입!AD72</f>
        <v>2298</v>
      </c>
      <c r="C72" s="613">
        <f>국가별수입!AE112-국가별수입!AE72</f>
        <v>5913</v>
      </c>
      <c r="D72" s="613">
        <f>국가별수입!AF112-국가별수입!AF72</f>
        <v>3168</v>
      </c>
      <c r="E72" s="37">
        <f t="shared" si="5"/>
        <v>37.9</v>
      </c>
      <c r="F72" s="613">
        <f>국가별수입!AH112-국가별수입!AH72</f>
        <v>7124</v>
      </c>
      <c r="G72" s="37">
        <f t="shared" si="6"/>
        <v>20.5</v>
      </c>
    </row>
    <row r="73" spans="1:7" s="605" customFormat="1" ht="19.5" hidden="1" customHeight="1">
      <c r="A73" s="610" t="s">
        <v>81</v>
      </c>
      <c r="B73" s="613">
        <f>국가별수입!AD113-국가별수입!AD73</f>
        <v>2429</v>
      </c>
      <c r="C73" s="613">
        <f>국가별수입!AE113-국가별수입!AE73</f>
        <v>8027</v>
      </c>
      <c r="D73" s="613">
        <f>국가별수입!AF113-국가별수입!AF73</f>
        <v>817</v>
      </c>
      <c r="E73" s="37">
        <f t="shared" si="5"/>
        <v>-66.400000000000006</v>
      </c>
      <c r="F73" s="613">
        <f>국가별수입!AH113-국가별수입!AH73</f>
        <v>3620</v>
      </c>
      <c r="G73" s="37">
        <f t="shared" si="6"/>
        <v>-54.9</v>
      </c>
    </row>
    <row r="74" spans="1:7" s="605" customFormat="1" ht="19.5" hidden="1" customHeight="1">
      <c r="A74" s="610" t="s">
        <v>82</v>
      </c>
      <c r="B74" s="613">
        <f>국가별수입!AD114-국가별수입!AD74</f>
        <v>2626</v>
      </c>
      <c r="C74" s="613">
        <f>국가별수입!AE114-국가별수입!AE74</f>
        <v>3900</v>
      </c>
      <c r="D74" s="613">
        <f>국가별수입!AF114-국가별수입!AF74</f>
        <v>2036</v>
      </c>
      <c r="E74" s="37">
        <f t="shared" si="5"/>
        <v>-22.5</v>
      </c>
      <c r="F74" s="613">
        <f>국가별수입!AH114-국가별수입!AH74</f>
        <v>4115</v>
      </c>
      <c r="G74" s="37">
        <f t="shared" si="6"/>
        <v>5.5</v>
      </c>
    </row>
    <row r="75" spans="1:7" s="605" customFormat="1" ht="19.5" hidden="1" customHeight="1">
      <c r="A75" s="610" t="s">
        <v>505</v>
      </c>
      <c r="B75" s="613">
        <f>국가별수입!AD115-국가별수입!AD75</f>
        <v>2508</v>
      </c>
      <c r="C75" s="613">
        <f>국가별수입!AE115-국가별수입!AE75</f>
        <v>6881</v>
      </c>
      <c r="D75" s="613">
        <f>국가별수입!AF115-국가별수입!AF75</f>
        <v>1336</v>
      </c>
      <c r="E75" s="37">
        <f t="shared" si="5"/>
        <v>-46.7</v>
      </c>
      <c r="F75" s="613">
        <f>국가별수입!AH115-국가별수입!AH75</f>
        <v>4401</v>
      </c>
      <c r="G75" s="37">
        <f t="shared" si="6"/>
        <v>-36</v>
      </c>
    </row>
    <row r="76" spans="1:7" s="605" customFormat="1" ht="19.5" hidden="1" customHeight="1">
      <c r="A76" s="610" t="s">
        <v>506</v>
      </c>
      <c r="B76" s="613">
        <f>국가별수입!AD116-국가별수입!AD76</f>
        <v>1407</v>
      </c>
      <c r="C76" s="613">
        <f>국가별수입!AE116-국가별수입!AE76</f>
        <v>1792</v>
      </c>
      <c r="D76" s="613">
        <f>국가별수입!AF116-국가별수입!AF76</f>
        <v>1303</v>
      </c>
      <c r="E76" s="37">
        <f t="shared" si="5"/>
        <v>-7.4</v>
      </c>
      <c r="F76" s="613">
        <f>국가별수입!AH116-국가별수입!AH76</f>
        <v>2529</v>
      </c>
      <c r="G76" s="37">
        <f t="shared" si="6"/>
        <v>41.1</v>
      </c>
    </row>
    <row r="77" spans="1:7" s="605" customFormat="1" ht="19.5" hidden="1" customHeight="1">
      <c r="A77" s="610" t="s">
        <v>233</v>
      </c>
      <c r="B77" s="613">
        <f>국가별수입!AD117-국가별수입!AD77</f>
        <v>1012</v>
      </c>
      <c r="C77" s="613">
        <f>국가별수입!AE117-국가별수입!AE77</f>
        <v>3893</v>
      </c>
      <c r="D77" s="613">
        <f>국가별수입!AF117-국가별수입!AF77</f>
        <v>1139</v>
      </c>
      <c r="E77" s="37">
        <f t="shared" si="5"/>
        <v>12.5</v>
      </c>
      <c r="F77" s="613">
        <f>국가별수입!AH117-국가별수입!AH77</f>
        <v>4367</v>
      </c>
      <c r="G77" s="37">
        <f t="shared" si="6"/>
        <v>12.2</v>
      </c>
    </row>
    <row r="78" spans="1:7" s="605" customFormat="1" ht="19.5" hidden="1" customHeight="1">
      <c r="A78" s="52" t="s">
        <v>18</v>
      </c>
      <c r="B78" s="33">
        <f t="shared" ref="B78:D78" si="7">B79-SUM(B48:B77)</f>
        <v>21754</v>
      </c>
      <c r="C78" s="33">
        <f t="shared" si="7"/>
        <v>137748</v>
      </c>
      <c r="D78" s="33">
        <f t="shared" si="7"/>
        <v>31905</v>
      </c>
      <c r="E78" s="38">
        <f t="shared" si="5"/>
        <v>46.7</v>
      </c>
      <c r="F78" s="33">
        <f>F79-SUM(F48:F77)</f>
        <v>170402</v>
      </c>
      <c r="G78" s="38">
        <f t="shared" si="6"/>
        <v>23.7</v>
      </c>
    </row>
    <row r="79" spans="1:7" s="605" customFormat="1" ht="19.5" hidden="1" customHeight="1">
      <c r="A79" s="55" t="s">
        <v>72</v>
      </c>
      <c r="B79" s="382">
        <f>국가별수입!AD119-국가별수입!AD79</f>
        <v>362097</v>
      </c>
      <c r="C79" s="382">
        <f>국가별수입!AE119-국가별수입!AE79</f>
        <v>1230749</v>
      </c>
      <c r="D79" s="382">
        <f>국가별수입!AF119-국가별수입!AF79</f>
        <v>431821</v>
      </c>
      <c r="E79" s="220">
        <f t="shared" si="5"/>
        <v>19.3</v>
      </c>
      <c r="F79" s="614">
        <f>국가별수입!AH119-국가별수입!AH79</f>
        <v>1748264</v>
      </c>
      <c r="G79" s="220">
        <f t="shared" si="6"/>
        <v>42</v>
      </c>
    </row>
    <row r="80" spans="1:7" hidden="1"/>
    <row r="81" spans="1:7" s="605" customFormat="1" ht="22.5" hidden="1">
      <c r="A81" s="831" t="s">
        <v>601</v>
      </c>
      <c r="B81" s="831"/>
      <c r="C81" s="831"/>
      <c r="D81" s="831"/>
      <c r="E81" s="831"/>
      <c r="F81" s="831"/>
      <c r="G81" s="831"/>
    </row>
    <row r="82" spans="1:7" s="605" customFormat="1" hidden="1">
      <c r="A82" s="43"/>
      <c r="B82" s="612"/>
      <c r="C82" s="612"/>
      <c r="D82" s="612"/>
      <c r="E82" s="45"/>
      <c r="F82" s="612"/>
      <c r="G82" s="45"/>
    </row>
    <row r="83" spans="1:7" s="605" customFormat="1" hidden="1">
      <c r="A83" s="43"/>
      <c r="B83" s="612"/>
      <c r="C83" s="612"/>
      <c r="D83" s="612"/>
      <c r="E83" s="45"/>
      <c r="F83" s="830" t="s">
        <v>73</v>
      </c>
      <c r="G83" s="830"/>
    </row>
    <row r="84" spans="1:7" s="605" customFormat="1" ht="21.75" hidden="1" customHeight="1">
      <c r="A84" s="749" t="s">
        <v>36</v>
      </c>
      <c r="B84" s="749" t="s">
        <v>602</v>
      </c>
      <c r="C84" s="749"/>
      <c r="D84" s="749"/>
      <c r="E84" s="749"/>
      <c r="F84" s="749"/>
      <c r="G84" s="749"/>
    </row>
    <row r="85" spans="1:7" s="605" customFormat="1" ht="21" hidden="1" customHeight="1">
      <c r="A85" s="749"/>
      <c r="B85" s="749" t="s">
        <v>419</v>
      </c>
      <c r="C85" s="749"/>
      <c r="D85" s="749" t="s">
        <v>504</v>
      </c>
      <c r="E85" s="749"/>
      <c r="F85" s="749"/>
      <c r="G85" s="749"/>
    </row>
    <row r="86" spans="1:7" s="605" customFormat="1" hidden="1">
      <c r="A86" s="749"/>
      <c r="B86" s="749" t="s">
        <v>37</v>
      </c>
      <c r="C86" s="749" t="s">
        <v>38</v>
      </c>
      <c r="D86" s="832" t="s">
        <v>39</v>
      </c>
      <c r="E86" s="46"/>
      <c r="F86" s="832" t="s">
        <v>38</v>
      </c>
      <c r="G86" s="46"/>
    </row>
    <row r="87" spans="1:7" s="605" customFormat="1" ht="17.25" hidden="1" thickBot="1">
      <c r="A87" s="833"/>
      <c r="B87" s="833"/>
      <c r="C87" s="833"/>
      <c r="D87" s="833"/>
      <c r="E87" s="47" t="s">
        <v>42</v>
      </c>
      <c r="F87" s="833"/>
      <c r="G87" s="47" t="s">
        <v>42</v>
      </c>
    </row>
    <row r="88" spans="1:7" s="605" customFormat="1" ht="19.5" hidden="1" customHeight="1" thickTop="1">
      <c r="A88" s="610" t="s">
        <v>43</v>
      </c>
      <c r="B88" s="613">
        <f>국가별수입!AD128-국가별수입!AD88</f>
        <v>54278</v>
      </c>
      <c r="C88" s="613">
        <f>국가별수입!AE128-국가별수입!AE88</f>
        <v>188086</v>
      </c>
      <c r="D88" s="613">
        <f>국가별수입!AF128-국가별수입!AF88</f>
        <v>52981</v>
      </c>
      <c r="E88" s="37">
        <f>ROUND(((D88/B88-1)*100),1)</f>
        <v>-2.4</v>
      </c>
      <c r="F88" s="613">
        <f>국가별수입!AH128-국가별수입!AH88</f>
        <v>250215</v>
      </c>
      <c r="G88" s="37">
        <f>ROUND(((F88/C88-1)*100),1)</f>
        <v>33</v>
      </c>
    </row>
    <row r="89" spans="1:7" s="605" customFormat="1" ht="19.5" hidden="1" customHeight="1">
      <c r="A89" s="610" t="s">
        <v>45</v>
      </c>
      <c r="B89" s="613">
        <f>국가별수입!AD129-국가별수입!AD89</f>
        <v>42534</v>
      </c>
      <c r="C89" s="613">
        <f>국가별수입!AE129-국가별수입!AE89</f>
        <v>72206</v>
      </c>
      <c r="D89" s="613">
        <f>국가별수입!AF129-국가별수입!AF89</f>
        <v>70430</v>
      </c>
      <c r="E89" s="37">
        <f t="shared" ref="E89:E119" si="8">ROUND(((D89/B89-1)*100),1)</f>
        <v>65.599999999999994</v>
      </c>
      <c r="F89" s="613">
        <f>국가별수입!AH129-국가별수입!AH89</f>
        <v>165768</v>
      </c>
      <c r="G89" s="37">
        <f t="shared" ref="G89:G119" si="9">ROUND(((F89/C89-1)*100),1)</f>
        <v>129.6</v>
      </c>
    </row>
    <row r="90" spans="1:7" s="605" customFormat="1" ht="19.5" hidden="1" customHeight="1">
      <c r="A90" s="610" t="s">
        <v>54</v>
      </c>
      <c r="B90" s="613">
        <f>국가별수입!AD130-국가별수입!AD90</f>
        <v>47941</v>
      </c>
      <c r="C90" s="613">
        <f>국가별수입!AE130-국가별수입!AE90</f>
        <v>96970</v>
      </c>
      <c r="D90" s="613">
        <f>국가별수입!AF130-국가별수입!AF90</f>
        <v>37781</v>
      </c>
      <c r="E90" s="37">
        <f t="shared" si="8"/>
        <v>-21.2</v>
      </c>
      <c r="F90" s="613">
        <f>국가별수입!AH130-국가별수입!AH90</f>
        <v>136111</v>
      </c>
      <c r="G90" s="37">
        <f t="shared" si="9"/>
        <v>40.4</v>
      </c>
    </row>
    <row r="91" spans="1:7" s="605" customFormat="1" ht="19.5" hidden="1" customHeight="1">
      <c r="A91" s="610" t="s">
        <v>46</v>
      </c>
      <c r="B91" s="613">
        <f>국가별수입!AD131-국가별수입!AD91</f>
        <v>35203</v>
      </c>
      <c r="C91" s="613">
        <f>국가별수입!AE131-국가별수입!AE91</f>
        <v>122295</v>
      </c>
      <c r="D91" s="613">
        <f>국가별수입!AF131-국가별수입!AF91</f>
        <v>32178</v>
      </c>
      <c r="E91" s="37">
        <f t="shared" si="8"/>
        <v>-8.6</v>
      </c>
      <c r="F91" s="613">
        <f>국가별수입!AH131-국가별수입!AH91</f>
        <v>132178</v>
      </c>
      <c r="G91" s="37">
        <f t="shared" si="9"/>
        <v>8.1</v>
      </c>
    </row>
    <row r="92" spans="1:7" s="605" customFormat="1" ht="19.5" hidden="1" customHeight="1">
      <c r="A92" s="610" t="s">
        <v>47</v>
      </c>
      <c r="B92" s="613">
        <f>국가별수입!AD132-국가별수입!AD92</f>
        <v>18391</v>
      </c>
      <c r="C92" s="613">
        <f>국가별수입!AE132-국가별수입!AE92</f>
        <v>95211</v>
      </c>
      <c r="D92" s="613">
        <f>국가별수입!AF132-국가별수입!AF92</f>
        <v>17214</v>
      </c>
      <c r="E92" s="37">
        <f t="shared" si="8"/>
        <v>-6.4</v>
      </c>
      <c r="F92" s="613">
        <f>국가별수입!AH132-국가별수입!AH92</f>
        <v>126917</v>
      </c>
      <c r="G92" s="37">
        <f t="shared" si="9"/>
        <v>33.299999999999997</v>
      </c>
    </row>
    <row r="93" spans="1:7" s="605" customFormat="1" ht="19.5" hidden="1" customHeight="1">
      <c r="A93" s="610" t="s">
        <v>77</v>
      </c>
      <c r="B93" s="613">
        <f>국가별수입!AD133-국가별수입!AD93</f>
        <v>13351</v>
      </c>
      <c r="C93" s="613">
        <f>국가별수입!AE133-국가별수입!AE93</f>
        <v>69828</v>
      </c>
      <c r="D93" s="613">
        <f>국가별수입!AF133-국가별수입!AF93</f>
        <v>22260</v>
      </c>
      <c r="E93" s="37">
        <f t="shared" si="8"/>
        <v>66.7</v>
      </c>
      <c r="F93" s="613">
        <f>국가별수입!AH133-국가별수입!AH93</f>
        <v>195557</v>
      </c>
      <c r="G93" s="37">
        <f t="shared" si="9"/>
        <v>180.1</v>
      </c>
    </row>
    <row r="94" spans="1:7" s="605" customFormat="1" ht="19.5" hidden="1" customHeight="1">
      <c r="A94" s="610" t="s">
        <v>49</v>
      </c>
      <c r="B94" s="613">
        <f>국가별수입!AD134-국가별수입!AD94</f>
        <v>12084</v>
      </c>
      <c r="C94" s="613">
        <f>국가별수입!AE134-국가별수입!AE94</f>
        <v>29980</v>
      </c>
      <c r="D94" s="613">
        <f>국가별수입!AF134-국가별수입!AF94</f>
        <v>17011</v>
      </c>
      <c r="E94" s="37">
        <f t="shared" si="8"/>
        <v>40.799999999999997</v>
      </c>
      <c r="F94" s="613">
        <f>국가별수입!AH134-국가별수입!AH94</f>
        <v>57168</v>
      </c>
      <c r="G94" s="37">
        <f t="shared" si="9"/>
        <v>90.7</v>
      </c>
    </row>
    <row r="95" spans="1:7" s="605" customFormat="1" ht="19.5" hidden="1" customHeight="1">
      <c r="A95" s="610" t="s">
        <v>57</v>
      </c>
      <c r="B95" s="613">
        <f>국가별수입!AD135-국가별수입!AD95</f>
        <v>10507</v>
      </c>
      <c r="C95" s="613">
        <f>국가별수입!AE135-국가별수입!AE95</f>
        <v>19967</v>
      </c>
      <c r="D95" s="613">
        <f>국가별수입!AF135-국가별수입!AF95</f>
        <v>12636</v>
      </c>
      <c r="E95" s="37">
        <f t="shared" si="8"/>
        <v>20.3</v>
      </c>
      <c r="F95" s="613">
        <f>국가별수입!AH135-국가별수입!AH95</f>
        <v>37512</v>
      </c>
      <c r="G95" s="37">
        <f t="shared" si="9"/>
        <v>87.9</v>
      </c>
    </row>
    <row r="96" spans="1:7" s="605" customFormat="1" ht="19.5" hidden="1" customHeight="1">
      <c r="A96" s="610" t="s">
        <v>79</v>
      </c>
      <c r="B96" s="613">
        <f>국가별수입!AD136-국가별수입!AD96</f>
        <v>7428</v>
      </c>
      <c r="C96" s="613">
        <f>국가별수입!AE136-국가별수입!AE96</f>
        <v>16151</v>
      </c>
      <c r="D96" s="613">
        <f>국가별수입!AF136-국가별수입!AF96</f>
        <v>14897</v>
      </c>
      <c r="E96" s="37">
        <f t="shared" si="8"/>
        <v>100.6</v>
      </c>
      <c r="F96" s="613">
        <f>국가별수입!AH136-국가별수입!AH96</f>
        <v>36821</v>
      </c>
      <c r="G96" s="37">
        <f t="shared" si="9"/>
        <v>128</v>
      </c>
    </row>
    <row r="97" spans="1:7" s="605" customFormat="1" ht="19.5" hidden="1" customHeight="1">
      <c r="A97" s="610" t="s">
        <v>48</v>
      </c>
      <c r="B97" s="613">
        <f>국가별수입!AD137-국가별수입!AD97</f>
        <v>13252</v>
      </c>
      <c r="C97" s="613">
        <f>국가별수입!AE137-국가별수입!AE97</f>
        <v>27772</v>
      </c>
      <c r="D97" s="613">
        <f>국가별수입!AF137-국가별수입!AF97</f>
        <v>9628</v>
      </c>
      <c r="E97" s="37">
        <f t="shared" si="8"/>
        <v>-27.3</v>
      </c>
      <c r="F97" s="613">
        <f>국가별수입!AH137-국가별수입!AH97</f>
        <v>32604</v>
      </c>
      <c r="G97" s="37">
        <f t="shared" si="9"/>
        <v>17.399999999999999</v>
      </c>
    </row>
    <row r="98" spans="1:7" s="605" customFormat="1" ht="19.5" hidden="1" customHeight="1">
      <c r="A98" s="610" t="s">
        <v>56</v>
      </c>
      <c r="B98" s="613">
        <f>국가별수입!AD138-국가별수입!AD98</f>
        <v>8673</v>
      </c>
      <c r="C98" s="613">
        <f>국가별수입!AE138-국가별수입!AE98</f>
        <v>19514</v>
      </c>
      <c r="D98" s="613">
        <f>국가별수입!AF138-국가별수입!AF98</f>
        <v>6962</v>
      </c>
      <c r="E98" s="37">
        <f t="shared" si="8"/>
        <v>-19.7</v>
      </c>
      <c r="F98" s="613">
        <f>국가별수입!AH138-국가별수입!AH98</f>
        <v>26605</v>
      </c>
      <c r="G98" s="37">
        <f t="shared" si="9"/>
        <v>36.299999999999997</v>
      </c>
    </row>
    <row r="99" spans="1:7" s="605" customFormat="1" ht="19.5" hidden="1" customHeight="1">
      <c r="A99" s="610" t="s">
        <v>44</v>
      </c>
      <c r="B99" s="613">
        <f>국가별수입!AD139-국가별수입!AD99</f>
        <v>6667</v>
      </c>
      <c r="C99" s="613">
        <f>국가별수입!AE139-국가별수입!AE99</f>
        <v>20880</v>
      </c>
      <c r="D99" s="613">
        <f>국가별수입!AF139-국가별수입!AF99</f>
        <v>6594</v>
      </c>
      <c r="E99" s="37">
        <f t="shared" si="8"/>
        <v>-1.1000000000000001</v>
      </c>
      <c r="F99" s="613">
        <f>국가별수입!AH139-국가별수입!AH99</f>
        <v>33732</v>
      </c>
      <c r="G99" s="37">
        <f t="shared" si="9"/>
        <v>61.6</v>
      </c>
    </row>
    <row r="100" spans="1:7" s="605" customFormat="1" ht="19.5" hidden="1" customHeight="1">
      <c r="A100" s="610" t="s">
        <v>80</v>
      </c>
      <c r="B100" s="613">
        <f>국가별수입!AD140-국가별수입!AD100</f>
        <v>7730</v>
      </c>
      <c r="C100" s="613">
        <f>국가별수입!AE140-국가별수입!AE100</f>
        <v>14649</v>
      </c>
      <c r="D100" s="613">
        <f>국가별수입!AF140-국가별수입!AF100</f>
        <v>5529</v>
      </c>
      <c r="E100" s="37">
        <f t="shared" si="8"/>
        <v>-28.5</v>
      </c>
      <c r="F100" s="613">
        <f>국가별수입!AH140-국가별수입!AH100</f>
        <v>13474</v>
      </c>
      <c r="G100" s="37">
        <f t="shared" si="9"/>
        <v>-8</v>
      </c>
    </row>
    <row r="101" spans="1:7" s="605" customFormat="1" ht="19.5" hidden="1" customHeight="1">
      <c r="A101" s="610" t="s">
        <v>50</v>
      </c>
      <c r="B101" s="613">
        <f>국가별수입!AD141-국가별수입!AD101</f>
        <v>7345</v>
      </c>
      <c r="C101" s="613">
        <f>국가별수입!AE141-국가별수입!AE101</f>
        <v>27419</v>
      </c>
      <c r="D101" s="613">
        <f>국가별수입!AF141-국가별수입!AF101</f>
        <v>7846</v>
      </c>
      <c r="E101" s="37">
        <f t="shared" si="8"/>
        <v>6.8</v>
      </c>
      <c r="F101" s="613">
        <f>국가별수입!AH141-국가별수입!AH101</f>
        <v>38145</v>
      </c>
      <c r="G101" s="37">
        <f t="shared" si="9"/>
        <v>39.1</v>
      </c>
    </row>
    <row r="102" spans="1:7" s="605" customFormat="1" ht="19.5" hidden="1" customHeight="1">
      <c r="A102" s="610" t="s">
        <v>78</v>
      </c>
      <c r="B102" s="613">
        <f>국가별수입!AD142-국가별수입!AD102</f>
        <v>8282</v>
      </c>
      <c r="C102" s="613">
        <f>국가별수입!AE142-국가별수입!AE102</f>
        <v>44193</v>
      </c>
      <c r="D102" s="613">
        <f>국가별수입!AF142-국가별수입!AF102</f>
        <v>10778</v>
      </c>
      <c r="E102" s="37">
        <f t="shared" si="8"/>
        <v>30.1</v>
      </c>
      <c r="F102" s="613">
        <f>국가별수입!AH142-국가별수입!AH102</f>
        <v>95927</v>
      </c>
      <c r="G102" s="37">
        <f t="shared" si="9"/>
        <v>117.1</v>
      </c>
    </row>
    <row r="103" spans="1:7" s="605" customFormat="1" ht="19.5" hidden="1" customHeight="1">
      <c r="A103" s="610" t="s">
        <v>83</v>
      </c>
      <c r="B103" s="613">
        <f>국가별수입!AD143-국가별수입!AD103</f>
        <v>4691</v>
      </c>
      <c r="C103" s="613">
        <f>국가별수입!AE143-국가별수입!AE103</f>
        <v>8674</v>
      </c>
      <c r="D103" s="613">
        <f>국가별수입!AF143-국가별수입!AF103</f>
        <v>7042</v>
      </c>
      <c r="E103" s="37">
        <f t="shared" si="8"/>
        <v>50.1</v>
      </c>
      <c r="F103" s="613">
        <f>국가별수입!AH143-국가별수입!AH103</f>
        <v>17170</v>
      </c>
      <c r="G103" s="37">
        <f t="shared" si="9"/>
        <v>97.9</v>
      </c>
    </row>
    <row r="104" spans="1:7" s="605" customFormat="1" ht="19.5" hidden="1" customHeight="1">
      <c r="A104" s="610" t="s">
        <v>58</v>
      </c>
      <c r="B104" s="613">
        <f>국가별수입!AD144-국가별수입!AD104</f>
        <v>2905</v>
      </c>
      <c r="C104" s="613">
        <f>국가별수입!AE144-국가별수입!AE104</f>
        <v>6872</v>
      </c>
      <c r="D104" s="613">
        <f>국가별수입!AF144-국가별수입!AF104</f>
        <v>4367</v>
      </c>
      <c r="E104" s="37">
        <f t="shared" si="8"/>
        <v>50.3</v>
      </c>
      <c r="F104" s="613">
        <f>국가별수입!AH144-국가별수입!AH104</f>
        <v>20405</v>
      </c>
      <c r="G104" s="37">
        <f t="shared" si="9"/>
        <v>196.9</v>
      </c>
    </row>
    <row r="105" spans="1:7" s="605" customFormat="1" ht="19.5" hidden="1" customHeight="1">
      <c r="A105" s="610" t="s">
        <v>84</v>
      </c>
      <c r="B105" s="613">
        <f>국가별수입!AD145-국가별수입!AD105</f>
        <v>6727</v>
      </c>
      <c r="C105" s="613">
        <f>국가별수입!AE145-국가별수입!AE105</f>
        <v>12534</v>
      </c>
      <c r="D105" s="613">
        <f>국가별수입!AF145-국가별수입!AF105</f>
        <v>9066</v>
      </c>
      <c r="E105" s="37">
        <f t="shared" si="8"/>
        <v>34.799999999999997</v>
      </c>
      <c r="F105" s="613">
        <f>국가별수입!AH145-국가별수입!AH105</f>
        <v>20921</v>
      </c>
      <c r="G105" s="37">
        <f t="shared" si="9"/>
        <v>66.900000000000006</v>
      </c>
    </row>
    <row r="106" spans="1:7" s="605" customFormat="1" ht="19.5" hidden="1" customHeight="1">
      <c r="A106" s="610" t="s">
        <v>65</v>
      </c>
      <c r="B106" s="613">
        <f>국가별수입!AD146-국가별수입!AD106</f>
        <v>2184</v>
      </c>
      <c r="C106" s="613">
        <f>국가별수입!AE146-국가별수입!AE106</f>
        <v>11083</v>
      </c>
      <c r="D106" s="613">
        <f>국가별수입!AF146-국가별수입!AF106</f>
        <v>7266</v>
      </c>
      <c r="E106" s="37">
        <f t="shared" si="8"/>
        <v>232.7</v>
      </c>
      <c r="F106" s="613">
        <f>국가별수입!AH146-국가별수입!AH106</f>
        <v>26989</v>
      </c>
      <c r="G106" s="37">
        <f t="shared" si="9"/>
        <v>143.5</v>
      </c>
    </row>
    <row r="107" spans="1:7" s="605" customFormat="1" ht="19.5" hidden="1" customHeight="1">
      <c r="A107" s="610" t="s">
        <v>52</v>
      </c>
      <c r="B107" s="613">
        <f>국가별수입!AD147-국가별수입!AD107</f>
        <v>2183</v>
      </c>
      <c r="C107" s="613">
        <f>국가별수입!AE147-국가별수입!AE107</f>
        <v>7487</v>
      </c>
      <c r="D107" s="613">
        <f>국가별수입!AF147-국가별수입!AF107</f>
        <v>4840</v>
      </c>
      <c r="E107" s="37">
        <f t="shared" si="8"/>
        <v>121.7</v>
      </c>
      <c r="F107" s="613">
        <f>국가별수입!AH147-국가별수입!AH107</f>
        <v>22087</v>
      </c>
      <c r="G107" s="37">
        <f t="shared" si="9"/>
        <v>195</v>
      </c>
    </row>
    <row r="108" spans="1:7" s="605" customFormat="1" ht="19.5" hidden="1" customHeight="1">
      <c r="A108" s="610" t="s">
        <v>64</v>
      </c>
      <c r="B108" s="613">
        <f>국가별수입!AD148-국가별수입!AD108</f>
        <v>2673</v>
      </c>
      <c r="C108" s="613">
        <f>국가별수입!AE148-국가별수입!AE108</f>
        <v>6620</v>
      </c>
      <c r="D108" s="613">
        <f>국가별수입!AF148-국가별수입!AF108</f>
        <v>4927</v>
      </c>
      <c r="E108" s="37">
        <f t="shared" si="8"/>
        <v>84.3</v>
      </c>
      <c r="F108" s="613">
        <f>국가별수입!AH148-국가별수입!AH108</f>
        <v>15873</v>
      </c>
      <c r="G108" s="37">
        <f t="shared" si="9"/>
        <v>139.80000000000001</v>
      </c>
    </row>
    <row r="109" spans="1:7" s="167" customFormat="1" ht="19.5" hidden="1" customHeight="1">
      <c r="A109" s="610" t="s">
        <v>51</v>
      </c>
      <c r="B109" s="613">
        <f>국가별수입!AD149-국가별수입!AD109</f>
        <v>3939</v>
      </c>
      <c r="C109" s="613">
        <f>국가별수입!AE149-국가별수입!AE109</f>
        <v>28087</v>
      </c>
      <c r="D109" s="613">
        <f>국가별수입!AF149-국가별수입!AF109</f>
        <v>3800</v>
      </c>
      <c r="E109" s="37">
        <f t="shared" si="8"/>
        <v>-3.5</v>
      </c>
      <c r="F109" s="613">
        <f>국가별수입!AH149-국가별수입!AH109</f>
        <v>46707</v>
      </c>
      <c r="G109" s="37">
        <f t="shared" si="9"/>
        <v>66.3</v>
      </c>
    </row>
    <row r="110" spans="1:7" s="605" customFormat="1" ht="19.5" hidden="1" customHeight="1">
      <c r="A110" s="610" t="s">
        <v>61</v>
      </c>
      <c r="B110" s="613">
        <f>국가별수입!AD150-국가별수입!AD110</f>
        <v>2305</v>
      </c>
      <c r="C110" s="613">
        <f>국가별수입!AE150-국가별수입!AE110</f>
        <v>17665</v>
      </c>
      <c r="D110" s="613">
        <f>국가별수입!AF150-국가별수입!AF110</f>
        <v>2984</v>
      </c>
      <c r="E110" s="37">
        <f t="shared" si="8"/>
        <v>29.5</v>
      </c>
      <c r="F110" s="613">
        <f>국가별수입!AH150-국가별수입!AH110</f>
        <v>22011</v>
      </c>
      <c r="G110" s="37">
        <f t="shared" si="9"/>
        <v>24.6</v>
      </c>
    </row>
    <row r="111" spans="1:7" s="605" customFormat="1" ht="19.5" hidden="1" customHeight="1">
      <c r="A111" s="610" t="s">
        <v>53</v>
      </c>
      <c r="B111" s="613">
        <f>국가별수입!AD151-국가별수입!AD111</f>
        <v>2641</v>
      </c>
      <c r="C111" s="613">
        <f>국가별수입!AE151-국가별수입!AE111</f>
        <v>4604</v>
      </c>
      <c r="D111" s="613">
        <f>국가별수입!AF151-국가별수입!AF111</f>
        <v>1404</v>
      </c>
      <c r="E111" s="37">
        <f t="shared" si="8"/>
        <v>-46.8</v>
      </c>
      <c r="F111" s="613">
        <f>국가별수입!AH151-국가별수입!AH111</f>
        <v>4884</v>
      </c>
      <c r="G111" s="37">
        <f t="shared" si="9"/>
        <v>6.1</v>
      </c>
    </row>
    <row r="112" spans="1:7" s="605" customFormat="1" ht="19.5" hidden="1" customHeight="1">
      <c r="A112" s="610" t="s">
        <v>85</v>
      </c>
      <c r="B112" s="613">
        <f>국가별수입!AD152-국가별수입!AD112</f>
        <v>1369</v>
      </c>
      <c r="C112" s="613">
        <f>국가별수입!AE152-국가별수입!AE112</f>
        <v>2816</v>
      </c>
      <c r="D112" s="613">
        <f>국가별수입!AF152-국가별수입!AF112</f>
        <v>3296</v>
      </c>
      <c r="E112" s="37">
        <f t="shared" si="8"/>
        <v>140.80000000000001</v>
      </c>
      <c r="F112" s="613">
        <f>국가별수입!AH152-국가별수입!AH112</f>
        <v>10464</v>
      </c>
      <c r="G112" s="37">
        <f t="shared" si="9"/>
        <v>271.60000000000002</v>
      </c>
    </row>
    <row r="113" spans="1:7" s="605" customFormat="1" ht="19.5" hidden="1" customHeight="1">
      <c r="A113" s="610" t="s">
        <v>81</v>
      </c>
      <c r="B113" s="613">
        <f>국가별수입!AD153-국가별수입!AD113</f>
        <v>1594</v>
      </c>
      <c r="C113" s="613">
        <f>국가별수입!AE153-국가별수입!AE113</f>
        <v>4320</v>
      </c>
      <c r="D113" s="613">
        <f>국가별수입!AF153-국가별수입!AF113</f>
        <v>1860</v>
      </c>
      <c r="E113" s="37">
        <f t="shared" si="8"/>
        <v>16.7</v>
      </c>
      <c r="F113" s="613">
        <f>국가별수입!AH153-국가별수입!AH113</f>
        <v>5639</v>
      </c>
      <c r="G113" s="37">
        <f t="shared" si="9"/>
        <v>30.5</v>
      </c>
    </row>
    <row r="114" spans="1:7" s="605" customFormat="1" ht="19.5" hidden="1" customHeight="1">
      <c r="A114" s="610" t="s">
        <v>82</v>
      </c>
      <c r="B114" s="613">
        <f>국가별수입!AD154-국가별수입!AD114</f>
        <v>2651</v>
      </c>
      <c r="C114" s="613">
        <f>국가별수입!AE154-국가별수입!AE114</f>
        <v>3779</v>
      </c>
      <c r="D114" s="613">
        <f>국가별수입!AF154-국가별수입!AF114</f>
        <v>2267</v>
      </c>
      <c r="E114" s="37">
        <f t="shared" si="8"/>
        <v>-14.5</v>
      </c>
      <c r="F114" s="613">
        <f>국가별수입!AH154-국가별수입!AH114</f>
        <v>4055</v>
      </c>
      <c r="G114" s="37">
        <f t="shared" si="9"/>
        <v>7.3</v>
      </c>
    </row>
    <row r="115" spans="1:7" s="605" customFormat="1" ht="19.5" hidden="1" customHeight="1">
      <c r="A115" s="610" t="s">
        <v>505</v>
      </c>
      <c r="B115" s="613">
        <f>국가별수입!AD155-국가별수입!AD115</f>
        <v>1759</v>
      </c>
      <c r="C115" s="613">
        <f>국가별수입!AE155-국가별수입!AE115</f>
        <v>5121</v>
      </c>
      <c r="D115" s="613">
        <f>국가별수입!AF155-국가별수입!AF115</f>
        <v>1509</v>
      </c>
      <c r="E115" s="37">
        <f t="shared" si="8"/>
        <v>-14.2</v>
      </c>
      <c r="F115" s="613">
        <f>국가별수입!AH155-국가별수입!AH115</f>
        <v>18508</v>
      </c>
      <c r="G115" s="37">
        <f t="shared" si="9"/>
        <v>261.39999999999998</v>
      </c>
    </row>
    <row r="116" spans="1:7" s="605" customFormat="1" ht="19.5" hidden="1" customHeight="1">
      <c r="A116" s="610" t="s">
        <v>506</v>
      </c>
      <c r="B116" s="613">
        <f>국가별수입!AD156-국가별수입!AD116</f>
        <v>1681</v>
      </c>
      <c r="C116" s="613">
        <f>국가별수입!AE156-국가별수입!AE116</f>
        <v>2162</v>
      </c>
      <c r="D116" s="613">
        <f>국가별수입!AF156-국가별수입!AF116</f>
        <v>40</v>
      </c>
      <c r="E116" s="37">
        <f t="shared" si="8"/>
        <v>-97.6</v>
      </c>
      <c r="F116" s="613">
        <f>국가별수입!AH156-국가별수입!AH116</f>
        <v>244</v>
      </c>
      <c r="G116" s="37">
        <f t="shared" si="9"/>
        <v>-88.7</v>
      </c>
    </row>
    <row r="117" spans="1:7" s="605" customFormat="1" ht="19.5" hidden="1" customHeight="1">
      <c r="A117" s="610" t="s">
        <v>233</v>
      </c>
      <c r="B117" s="613">
        <f>국가별수입!AD157-국가별수입!AD117</f>
        <v>1794</v>
      </c>
      <c r="C117" s="613">
        <f>국가별수입!AE157-국가별수입!AE117</f>
        <v>4497</v>
      </c>
      <c r="D117" s="613">
        <f>국가별수입!AF157-국가별수입!AF117</f>
        <v>1657</v>
      </c>
      <c r="E117" s="37">
        <f t="shared" si="8"/>
        <v>-7.6</v>
      </c>
      <c r="F117" s="613">
        <f>국가별수입!AH157-국가별수입!AH117</f>
        <v>9716</v>
      </c>
      <c r="G117" s="37">
        <f t="shared" si="9"/>
        <v>116.1</v>
      </c>
    </row>
    <row r="118" spans="1:7" s="605" customFormat="1" ht="19.5" hidden="1" customHeight="1">
      <c r="A118" s="52" t="s">
        <v>18</v>
      </c>
      <c r="B118" s="33">
        <f t="shared" ref="B118:D118" si="10">B119-SUM(B88:B117)</f>
        <v>21651</v>
      </c>
      <c r="C118" s="33">
        <f t="shared" si="10"/>
        <v>120571</v>
      </c>
      <c r="D118" s="33">
        <f t="shared" si="10"/>
        <v>28253</v>
      </c>
      <c r="E118" s="38">
        <f t="shared" si="8"/>
        <v>30.5</v>
      </c>
      <c r="F118" s="33">
        <f>F119-SUM(F88:F117)</f>
        <v>176097</v>
      </c>
      <c r="G118" s="38">
        <f t="shared" si="9"/>
        <v>46.1</v>
      </c>
    </row>
    <row r="119" spans="1:7" s="605" customFormat="1" ht="19.5" hidden="1" customHeight="1">
      <c r="A119" s="55" t="s">
        <v>72</v>
      </c>
      <c r="B119" s="382">
        <f>국가별수입!AD159-국가별수입!AD119</f>
        <v>356413</v>
      </c>
      <c r="C119" s="382">
        <f>국가별수입!AE159-국가별수입!AE119</f>
        <v>1112013</v>
      </c>
      <c r="D119" s="382">
        <f>국가별수입!AF159-국가별수입!AF119</f>
        <v>409303</v>
      </c>
      <c r="E119" s="220">
        <f t="shared" si="8"/>
        <v>14.8</v>
      </c>
      <c r="F119" s="614">
        <f>국가별수입!AH159-국가별수입!AH119</f>
        <v>1800504</v>
      </c>
      <c r="G119" s="220">
        <f t="shared" si="9"/>
        <v>61.9</v>
      </c>
    </row>
    <row r="120" spans="1:7" hidden="1"/>
    <row r="121" spans="1:7" s="605" customFormat="1" ht="22.5">
      <c r="A121" s="831" t="s">
        <v>619</v>
      </c>
      <c r="B121" s="831"/>
      <c r="C121" s="831"/>
      <c r="D121" s="831"/>
      <c r="E121" s="831"/>
      <c r="F121" s="831"/>
      <c r="G121" s="831"/>
    </row>
    <row r="122" spans="1:7" s="605" customFormat="1">
      <c r="A122" s="43"/>
      <c r="B122" s="612"/>
      <c r="C122" s="612"/>
      <c r="D122" s="612"/>
      <c r="E122" s="45"/>
      <c r="F122" s="612"/>
      <c r="G122" s="45"/>
    </row>
    <row r="123" spans="1:7" s="605" customFormat="1">
      <c r="A123" s="43"/>
      <c r="B123" s="612"/>
      <c r="C123" s="612"/>
      <c r="D123" s="612"/>
      <c r="E123" s="45"/>
      <c r="F123" s="830" t="s">
        <v>73</v>
      </c>
      <c r="G123" s="830"/>
    </row>
    <row r="124" spans="1:7" s="605" customFormat="1" ht="21.75" customHeight="1">
      <c r="A124" s="749" t="s">
        <v>36</v>
      </c>
      <c r="B124" s="749" t="s">
        <v>607</v>
      </c>
      <c r="C124" s="749"/>
      <c r="D124" s="749"/>
      <c r="E124" s="749"/>
      <c r="F124" s="749"/>
      <c r="G124" s="749"/>
    </row>
    <row r="125" spans="1:7" s="605" customFormat="1" ht="21" customHeight="1">
      <c r="A125" s="749"/>
      <c r="B125" s="749" t="s">
        <v>419</v>
      </c>
      <c r="C125" s="749"/>
      <c r="D125" s="749" t="s">
        <v>504</v>
      </c>
      <c r="E125" s="749"/>
      <c r="F125" s="749"/>
      <c r="G125" s="749"/>
    </row>
    <row r="126" spans="1:7" s="605" customFormat="1">
      <c r="A126" s="749"/>
      <c r="B126" s="749" t="s">
        <v>37</v>
      </c>
      <c r="C126" s="749" t="s">
        <v>38</v>
      </c>
      <c r="D126" s="832" t="s">
        <v>39</v>
      </c>
      <c r="E126" s="46"/>
      <c r="F126" s="832" t="s">
        <v>38</v>
      </c>
      <c r="G126" s="46"/>
    </row>
    <row r="127" spans="1:7" s="605" customFormat="1" ht="17.25" thickBot="1">
      <c r="A127" s="833"/>
      <c r="B127" s="833"/>
      <c r="C127" s="833"/>
      <c r="D127" s="833"/>
      <c r="E127" s="47" t="s">
        <v>42</v>
      </c>
      <c r="F127" s="833"/>
      <c r="G127" s="47" t="s">
        <v>42</v>
      </c>
    </row>
    <row r="128" spans="1:7" s="605" customFormat="1" ht="19.5" customHeight="1" thickTop="1">
      <c r="A128" s="610" t="s">
        <v>43</v>
      </c>
      <c r="B128" s="613">
        <f>국가별수입!AD168-국가별수입!AD128</f>
        <v>50326</v>
      </c>
      <c r="C128" s="613">
        <f>국가별수입!AE168-국가별수입!AE128</f>
        <v>164182</v>
      </c>
      <c r="D128" s="613">
        <f>국가별수입!AF168-국가별수입!AF128</f>
        <v>54191</v>
      </c>
      <c r="E128" s="37">
        <f>ROUND(((D128/B128-1)*100),1)</f>
        <v>7.7</v>
      </c>
      <c r="F128" s="613">
        <f>국가별수입!AH168-국가별수입!AH128</f>
        <v>259777</v>
      </c>
      <c r="G128" s="37">
        <f>ROUND(((F128/C128-1)*100),1)</f>
        <v>58.2</v>
      </c>
    </row>
    <row r="129" spans="1:7" s="605" customFormat="1" ht="19.5" customHeight="1">
      <c r="A129" s="610" t="s">
        <v>45</v>
      </c>
      <c r="B129" s="613">
        <f>국가별수입!AD169-국가별수입!AD129</f>
        <v>38054</v>
      </c>
      <c r="C129" s="613">
        <f>국가별수입!AE169-국가별수입!AE129</f>
        <v>63048</v>
      </c>
      <c r="D129" s="613">
        <f>국가별수입!AF169-국가별수입!AF129</f>
        <v>67672</v>
      </c>
      <c r="E129" s="37">
        <f t="shared" ref="E129:E159" si="11">ROUND(((D129/B129-1)*100),1)</f>
        <v>77.8</v>
      </c>
      <c r="F129" s="613">
        <f>국가별수입!AH169-국가별수입!AH129</f>
        <v>168394</v>
      </c>
      <c r="G129" s="37">
        <f t="shared" ref="G129:G159" si="12">ROUND(((F129/C129-1)*100),1)</f>
        <v>167.1</v>
      </c>
    </row>
    <row r="130" spans="1:7" s="605" customFormat="1" ht="19.5" customHeight="1">
      <c r="A130" s="610" t="s">
        <v>54</v>
      </c>
      <c r="B130" s="613">
        <f>국가별수입!AD170-국가별수입!AD130</f>
        <v>38642</v>
      </c>
      <c r="C130" s="613">
        <f>국가별수입!AE170-국가별수입!AE130</f>
        <v>77367</v>
      </c>
      <c r="D130" s="613">
        <f>국가별수입!AF170-국가별수입!AF130</f>
        <v>29459</v>
      </c>
      <c r="E130" s="37">
        <f t="shared" si="11"/>
        <v>-23.8</v>
      </c>
      <c r="F130" s="613">
        <f>국가별수입!AH170-국가별수입!AH130</f>
        <v>106350</v>
      </c>
      <c r="G130" s="37">
        <f t="shared" si="12"/>
        <v>37.5</v>
      </c>
    </row>
    <row r="131" spans="1:7" s="605" customFormat="1" ht="19.5" customHeight="1">
      <c r="A131" s="610" t="s">
        <v>46</v>
      </c>
      <c r="B131" s="613">
        <f>국가별수입!AD171-국가별수입!AD131</f>
        <v>33684</v>
      </c>
      <c r="C131" s="613">
        <f>국가별수입!AE171-국가별수입!AE131</f>
        <v>112185</v>
      </c>
      <c r="D131" s="613">
        <f>국가별수입!AF171-국가별수입!AF131</f>
        <v>28823</v>
      </c>
      <c r="E131" s="37">
        <f t="shared" si="11"/>
        <v>-14.4</v>
      </c>
      <c r="F131" s="613">
        <f>국가별수입!AH171-국가별수입!AH131</f>
        <v>133543</v>
      </c>
      <c r="G131" s="37">
        <f t="shared" si="12"/>
        <v>19</v>
      </c>
    </row>
    <row r="132" spans="1:7" s="605" customFormat="1" ht="19.5" customHeight="1">
      <c r="A132" s="610" t="s">
        <v>47</v>
      </c>
      <c r="B132" s="613">
        <f>국가별수입!AD172-국가별수입!AD132</f>
        <v>15526</v>
      </c>
      <c r="C132" s="613">
        <f>국가별수입!AE172-국가별수입!AE132</f>
        <v>77520</v>
      </c>
      <c r="D132" s="613">
        <f>국가별수입!AF172-국가별수입!AF132</f>
        <v>13796</v>
      </c>
      <c r="E132" s="37">
        <f t="shared" si="11"/>
        <v>-11.1</v>
      </c>
      <c r="F132" s="613">
        <f>국가별수입!AH172-국가별수입!AH132</f>
        <v>106701</v>
      </c>
      <c r="G132" s="37">
        <f t="shared" si="12"/>
        <v>37.6</v>
      </c>
    </row>
    <row r="133" spans="1:7" s="605" customFormat="1" ht="19.5" customHeight="1">
      <c r="A133" s="610" t="s">
        <v>77</v>
      </c>
      <c r="B133" s="613">
        <f>국가별수입!AD173-국가별수입!AD133</f>
        <v>15758</v>
      </c>
      <c r="C133" s="613">
        <f>국가별수입!AE173-국가별수입!AE133</f>
        <v>82018</v>
      </c>
      <c r="D133" s="613">
        <f>국가별수입!AF173-국가별수입!AF133</f>
        <v>19530</v>
      </c>
      <c r="E133" s="37">
        <f t="shared" si="11"/>
        <v>23.9</v>
      </c>
      <c r="F133" s="613">
        <f>국가별수입!AH173-국가별수입!AH133</f>
        <v>165804</v>
      </c>
      <c r="G133" s="37">
        <f t="shared" si="12"/>
        <v>102.2</v>
      </c>
    </row>
    <row r="134" spans="1:7" s="605" customFormat="1" ht="19.5" customHeight="1">
      <c r="A134" s="610" t="s">
        <v>49</v>
      </c>
      <c r="B134" s="613">
        <f>국가별수입!AD174-국가별수입!AD134</f>
        <v>12264</v>
      </c>
      <c r="C134" s="613">
        <f>국가별수입!AE174-국가별수입!AE134</f>
        <v>28040</v>
      </c>
      <c r="D134" s="613">
        <f>국가별수입!AF174-국가별수입!AF134</f>
        <v>11393</v>
      </c>
      <c r="E134" s="37">
        <f t="shared" si="11"/>
        <v>-7.1</v>
      </c>
      <c r="F134" s="613">
        <f>국가별수입!AH174-국가별수입!AH134</f>
        <v>45698</v>
      </c>
      <c r="G134" s="37">
        <f t="shared" si="12"/>
        <v>63</v>
      </c>
    </row>
    <row r="135" spans="1:7" s="605" customFormat="1" ht="19.5" customHeight="1">
      <c r="A135" s="610" t="s">
        <v>57</v>
      </c>
      <c r="B135" s="613">
        <f>국가별수입!AD175-국가별수입!AD135</f>
        <v>11990</v>
      </c>
      <c r="C135" s="613">
        <f>국가별수입!AE175-국가별수입!AE135</f>
        <v>20857</v>
      </c>
      <c r="D135" s="613">
        <f>국가별수입!AF175-국가별수입!AF135</f>
        <v>13339</v>
      </c>
      <c r="E135" s="37">
        <f t="shared" si="11"/>
        <v>11.3</v>
      </c>
      <c r="F135" s="613">
        <f>국가별수입!AH175-국가별수입!AH135</f>
        <v>38294</v>
      </c>
      <c r="G135" s="37">
        <f t="shared" si="12"/>
        <v>83.6</v>
      </c>
    </row>
    <row r="136" spans="1:7" s="605" customFormat="1" ht="19.5" customHeight="1">
      <c r="A136" s="610" t="s">
        <v>79</v>
      </c>
      <c r="B136" s="613">
        <f>국가별수입!AD176-국가별수입!AD136</f>
        <v>11324</v>
      </c>
      <c r="C136" s="613">
        <f>국가별수입!AE176-국가별수입!AE136</f>
        <v>22319</v>
      </c>
      <c r="D136" s="613">
        <f>국가별수입!AF176-국가별수입!AF136</f>
        <v>4254</v>
      </c>
      <c r="E136" s="37">
        <f t="shared" si="11"/>
        <v>-62.4</v>
      </c>
      <c r="F136" s="613">
        <f>국가별수입!AH176-국가별수입!AH136</f>
        <v>11941</v>
      </c>
      <c r="G136" s="37">
        <f t="shared" si="12"/>
        <v>-46.5</v>
      </c>
    </row>
    <row r="137" spans="1:7" s="605" customFormat="1" ht="19.5" customHeight="1">
      <c r="A137" s="610" t="s">
        <v>48</v>
      </c>
      <c r="B137" s="613">
        <f>국가별수입!AD177-국가별수입!AD137</f>
        <v>8414</v>
      </c>
      <c r="C137" s="613">
        <f>국가별수입!AE177-국가별수입!AE137</f>
        <v>18816</v>
      </c>
      <c r="D137" s="613">
        <f>국가별수입!AF177-국가별수입!AF137</f>
        <v>8467</v>
      </c>
      <c r="E137" s="37">
        <f t="shared" si="11"/>
        <v>0.6</v>
      </c>
      <c r="F137" s="613">
        <f>국가별수입!AH177-국가별수입!AH137</f>
        <v>29438</v>
      </c>
      <c r="G137" s="37">
        <f t="shared" si="12"/>
        <v>56.5</v>
      </c>
    </row>
    <row r="138" spans="1:7" s="605" customFormat="1" ht="19.5" customHeight="1">
      <c r="A138" s="610" t="s">
        <v>56</v>
      </c>
      <c r="B138" s="613">
        <f>국가별수입!AD178-국가별수입!AD138</f>
        <v>4656</v>
      </c>
      <c r="C138" s="613">
        <f>국가별수입!AE178-국가별수입!AE138</f>
        <v>8450</v>
      </c>
      <c r="D138" s="613">
        <f>국가별수입!AF178-국가별수입!AF138</f>
        <v>5622</v>
      </c>
      <c r="E138" s="37">
        <f t="shared" si="11"/>
        <v>20.7</v>
      </c>
      <c r="F138" s="613">
        <f>국가별수입!AH178-국가별수입!AH138</f>
        <v>28038</v>
      </c>
      <c r="G138" s="37">
        <f t="shared" si="12"/>
        <v>231.8</v>
      </c>
    </row>
    <row r="139" spans="1:7" s="605" customFormat="1" ht="19.5" customHeight="1">
      <c r="A139" s="610" t="s">
        <v>44</v>
      </c>
      <c r="B139" s="613">
        <f>국가별수입!AD179-국가별수입!AD139</f>
        <v>6365</v>
      </c>
      <c r="C139" s="613">
        <f>국가별수입!AE179-국가별수입!AE139</f>
        <v>19430</v>
      </c>
      <c r="D139" s="613">
        <f>국가별수입!AF179-국가별수입!AF139</f>
        <v>7289</v>
      </c>
      <c r="E139" s="37">
        <f t="shared" si="11"/>
        <v>14.5</v>
      </c>
      <c r="F139" s="613">
        <f>국가별수입!AH179-국가별수입!AH139</f>
        <v>36310</v>
      </c>
      <c r="G139" s="37">
        <f t="shared" si="12"/>
        <v>86.9</v>
      </c>
    </row>
    <row r="140" spans="1:7" s="605" customFormat="1" ht="19.5" customHeight="1">
      <c r="A140" s="610" t="s">
        <v>80</v>
      </c>
      <c r="B140" s="613">
        <f>국가별수입!AD180-국가별수입!AD140</f>
        <v>5274</v>
      </c>
      <c r="C140" s="613">
        <f>국가별수입!AE180-국가별수입!AE140</f>
        <v>10230</v>
      </c>
      <c r="D140" s="613">
        <f>국가별수입!AF180-국가별수입!AF140</f>
        <v>8287</v>
      </c>
      <c r="E140" s="37">
        <f t="shared" si="11"/>
        <v>57.1</v>
      </c>
      <c r="F140" s="613">
        <f>국가별수입!AH180-국가별수입!AH140</f>
        <v>19969</v>
      </c>
      <c r="G140" s="37">
        <f t="shared" si="12"/>
        <v>95.2</v>
      </c>
    </row>
    <row r="141" spans="1:7" s="605" customFormat="1" ht="19.5" customHeight="1">
      <c r="A141" s="610" t="s">
        <v>50</v>
      </c>
      <c r="B141" s="613">
        <f>국가별수입!AD181-국가별수입!AD141</f>
        <v>4214</v>
      </c>
      <c r="C141" s="613">
        <f>국가별수입!AE181-국가별수입!AE141</f>
        <v>18395</v>
      </c>
      <c r="D141" s="613">
        <f>국가별수입!AF181-국가별수입!AF141</f>
        <v>8783</v>
      </c>
      <c r="E141" s="37">
        <f t="shared" si="11"/>
        <v>108.4</v>
      </c>
      <c r="F141" s="613">
        <f>국가별수입!AH181-국가별수입!AH141</f>
        <v>41087</v>
      </c>
      <c r="G141" s="37">
        <f t="shared" si="12"/>
        <v>123.4</v>
      </c>
    </row>
    <row r="142" spans="1:7" s="605" customFormat="1" ht="19.5" customHeight="1">
      <c r="A142" s="610" t="s">
        <v>78</v>
      </c>
      <c r="B142" s="613">
        <f>국가별수입!AD182-국가별수입!AD142</f>
        <v>5693</v>
      </c>
      <c r="C142" s="613">
        <f>국가별수입!AE182-국가별수입!AE142</f>
        <v>29977</v>
      </c>
      <c r="D142" s="613">
        <f>국가별수입!AF182-국가별수입!AF142</f>
        <v>7510</v>
      </c>
      <c r="E142" s="37">
        <f t="shared" si="11"/>
        <v>31.9</v>
      </c>
      <c r="F142" s="613">
        <f>국가별수입!AH182-국가별수입!AH142</f>
        <v>69605</v>
      </c>
      <c r="G142" s="37">
        <f t="shared" si="12"/>
        <v>132.19999999999999</v>
      </c>
    </row>
    <row r="143" spans="1:7" s="605" customFormat="1" ht="19.5" customHeight="1">
      <c r="A143" s="610" t="s">
        <v>83</v>
      </c>
      <c r="B143" s="613">
        <f>국가별수입!AD183-국가별수입!AD143</f>
        <v>5417</v>
      </c>
      <c r="C143" s="613">
        <f>국가별수입!AE183-국가별수입!AE143</f>
        <v>9616</v>
      </c>
      <c r="D143" s="613">
        <f>국가별수입!AF183-국가별수입!AF143</f>
        <v>4698</v>
      </c>
      <c r="E143" s="37">
        <f t="shared" si="11"/>
        <v>-13.3</v>
      </c>
      <c r="F143" s="613">
        <f>국가별수입!AH183-국가별수입!AH143</f>
        <v>11287</v>
      </c>
      <c r="G143" s="37">
        <f t="shared" si="12"/>
        <v>17.399999999999999</v>
      </c>
    </row>
    <row r="144" spans="1:7" s="605" customFormat="1" ht="19.5" customHeight="1">
      <c r="A144" s="610" t="s">
        <v>58</v>
      </c>
      <c r="B144" s="613">
        <f>국가별수입!AD184-국가별수입!AD144</f>
        <v>6101</v>
      </c>
      <c r="C144" s="613">
        <f>국가별수입!AE184-국가별수입!AE144</f>
        <v>11493</v>
      </c>
      <c r="D144" s="613">
        <f>국가별수입!AF184-국가별수입!AF144</f>
        <v>6899</v>
      </c>
      <c r="E144" s="37">
        <f t="shared" si="11"/>
        <v>13.1</v>
      </c>
      <c r="F144" s="613">
        <f>국가별수입!AH184-국가별수입!AH144</f>
        <v>23151</v>
      </c>
      <c r="G144" s="37">
        <f t="shared" si="12"/>
        <v>101.4</v>
      </c>
    </row>
    <row r="145" spans="1:7" s="605" customFormat="1" ht="19.5" customHeight="1">
      <c r="A145" s="610" t="s">
        <v>84</v>
      </c>
      <c r="B145" s="613">
        <f>국가별수입!AD185-국가별수입!AD145</f>
        <v>4857</v>
      </c>
      <c r="C145" s="613">
        <f>국가별수입!AE185-국가별수입!AE145</f>
        <v>8578</v>
      </c>
      <c r="D145" s="613">
        <f>국가별수입!AF185-국가별수입!AF145</f>
        <v>6629</v>
      </c>
      <c r="E145" s="37">
        <f t="shared" si="11"/>
        <v>36.5</v>
      </c>
      <c r="F145" s="613">
        <f>국가별수입!AH185-국가별수입!AH145</f>
        <v>16060</v>
      </c>
      <c r="G145" s="37">
        <f t="shared" si="12"/>
        <v>87.2</v>
      </c>
    </row>
    <row r="146" spans="1:7" s="605" customFormat="1" ht="19.5" customHeight="1">
      <c r="A146" s="610" t="s">
        <v>65</v>
      </c>
      <c r="B146" s="613">
        <f>국가별수입!AD186-국가별수입!AD146</f>
        <v>4292</v>
      </c>
      <c r="C146" s="613">
        <f>국가별수입!AE186-국가별수입!AE146</f>
        <v>14779</v>
      </c>
      <c r="D146" s="613">
        <f>국가별수입!AF186-국가별수입!AF146</f>
        <v>8634</v>
      </c>
      <c r="E146" s="37">
        <f t="shared" si="11"/>
        <v>101.2</v>
      </c>
      <c r="F146" s="613">
        <f>국가별수입!AH186-국가별수입!AH146</f>
        <v>33244</v>
      </c>
      <c r="G146" s="37">
        <f t="shared" si="12"/>
        <v>124.9</v>
      </c>
    </row>
    <row r="147" spans="1:7" s="605" customFormat="1" ht="19.5" customHeight="1">
      <c r="A147" s="610" t="s">
        <v>52</v>
      </c>
      <c r="B147" s="613">
        <f>국가별수입!AD187-국가별수입!AD147</f>
        <v>1465</v>
      </c>
      <c r="C147" s="613">
        <f>국가별수입!AE187-국가별수입!AE147</f>
        <v>7271</v>
      </c>
      <c r="D147" s="613">
        <f>국가별수입!AF187-국가별수입!AF147</f>
        <v>4161</v>
      </c>
      <c r="E147" s="37">
        <f t="shared" si="11"/>
        <v>184</v>
      </c>
      <c r="F147" s="613">
        <f>국가별수입!AH187-국가별수입!AH147</f>
        <v>21566</v>
      </c>
      <c r="G147" s="37">
        <f t="shared" si="12"/>
        <v>196.6</v>
      </c>
    </row>
    <row r="148" spans="1:7" s="605" customFormat="1" ht="19.5" customHeight="1">
      <c r="A148" s="610" t="s">
        <v>64</v>
      </c>
      <c r="B148" s="613">
        <f>국가별수입!AD188-국가별수입!AD148</f>
        <v>5045</v>
      </c>
      <c r="C148" s="613">
        <f>국가별수입!AE188-국가별수입!AE148</f>
        <v>11329</v>
      </c>
      <c r="D148" s="613">
        <f>국가별수입!AF188-국가별수입!AF148</f>
        <v>3093</v>
      </c>
      <c r="E148" s="37">
        <f t="shared" si="11"/>
        <v>-38.700000000000003</v>
      </c>
      <c r="F148" s="613">
        <f>국가별수입!AH188-국가별수입!AH148</f>
        <v>13940</v>
      </c>
      <c r="G148" s="37">
        <f t="shared" si="12"/>
        <v>23</v>
      </c>
    </row>
    <row r="149" spans="1:7" s="167" customFormat="1" ht="19.5" customHeight="1">
      <c r="A149" s="610" t="s">
        <v>51</v>
      </c>
      <c r="B149" s="613">
        <f>국가별수입!AD189-국가별수입!AD149</f>
        <v>3091</v>
      </c>
      <c r="C149" s="613">
        <f>국가별수입!AE189-국가별수입!AE149</f>
        <v>23257</v>
      </c>
      <c r="D149" s="613">
        <f>국가별수입!AF189-국가별수입!AF149</f>
        <v>2046</v>
      </c>
      <c r="E149" s="37">
        <f t="shared" si="11"/>
        <v>-33.799999999999997</v>
      </c>
      <c r="F149" s="613">
        <f>국가별수입!AH189-국가별수입!AH149</f>
        <v>24864</v>
      </c>
      <c r="G149" s="37">
        <f t="shared" si="12"/>
        <v>6.9</v>
      </c>
    </row>
    <row r="150" spans="1:7" s="605" customFormat="1" ht="19.5" customHeight="1">
      <c r="A150" s="610" t="s">
        <v>61</v>
      </c>
      <c r="B150" s="613">
        <f>국가별수입!AD190-국가별수입!AD150</f>
        <v>3183</v>
      </c>
      <c r="C150" s="613">
        <f>국가별수입!AE190-국가별수입!AE150</f>
        <v>22070</v>
      </c>
      <c r="D150" s="613">
        <f>국가별수입!AF190-국가별수입!AF150</f>
        <v>2457</v>
      </c>
      <c r="E150" s="37">
        <f t="shared" si="11"/>
        <v>-22.8</v>
      </c>
      <c r="F150" s="613">
        <f>국가별수입!AH190-국가별수입!AH150</f>
        <v>20762</v>
      </c>
      <c r="G150" s="37">
        <f t="shared" si="12"/>
        <v>-5.9</v>
      </c>
    </row>
    <row r="151" spans="1:7" s="605" customFormat="1" ht="19.5" customHeight="1">
      <c r="A151" s="610" t="s">
        <v>53</v>
      </c>
      <c r="B151" s="613">
        <f>국가별수입!AD191-국가별수입!AD151</f>
        <v>1778</v>
      </c>
      <c r="C151" s="613">
        <f>국가별수입!AE191-국가별수입!AE151</f>
        <v>3768</v>
      </c>
      <c r="D151" s="613">
        <f>국가별수입!AF191-국가별수입!AF151</f>
        <v>1507</v>
      </c>
      <c r="E151" s="37">
        <f t="shared" si="11"/>
        <v>-15.2</v>
      </c>
      <c r="F151" s="613">
        <f>국가별수입!AH191-국가별수입!AH151</f>
        <v>5904</v>
      </c>
      <c r="G151" s="37">
        <f t="shared" si="12"/>
        <v>56.7</v>
      </c>
    </row>
    <row r="152" spans="1:7" s="605" customFormat="1" ht="19.5" customHeight="1">
      <c r="A152" s="610" t="s">
        <v>85</v>
      </c>
      <c r="B152" s="613">
        <f>국가별수입!AD192-국가별수입!AD152</f>
        <v>1439</v>
      </c>
      <c r="C152" s="613">
        <f>국가별수입!AE192-국가별수입!AE152</f>
        <v>3452</v>
      </c>
      <c r="D152" s="613">
        <f>국가별수입!AF192-국가별수입!AF152</f>
        <v>1857</v>
      </c>
      <c r="E152" s="37">
        <f t="shared" si="11"/>
        <v>29</v>
      </c>
      <c r="F152" s="613">
        <f>국가별수입!AH192-국가별수입!AH152</f>
        <v>7450</v>
      </c>
      <c r="G152" s="37">
        <f t="shared" si="12"/>
        <v>115.8</v>
      </c>
    </row>
    <row r="153" spans="1:7" s="605" customFormat="1" ht="19.5" customHeight="1">
      <c r="A153" s="610" t="s">
        <v>81</v>
      </c>
      <c r="B153" s="613">
        <f>국가별수입!AD193-국가별수입!AD153</f>
        <v>1782</v>
      </c>
      <c r="C153" s="613">
        <f>국가별수입!AE193-국가별수입!AE153</f>
        <v>4776</v>
      </c>
      <c r="D153" s="613">
        <f>국가별수입!AF193-국가별수입!AF153</f>
        <v>2097</v>
      </c>
      <c r="E153" s="37">
        <f t="shared" si="11"/>
        <v>17.7</v>
      </c>
      <c r="F153" s="613">
        <f>국가별수입!AH193-국가별수입!AH153</f>
        <v>5846</v>
      </c>
      <c r="G153" s="37">
        <f t="shared" si="12"/>
        <v>22.4</v>
      </c>
    </row>
    <row r="154" spans="1:7" s="605" customFormat="1" ht="19.5" customHeight="1">
      <c r="A154" s="610" t="s">
        <v>82</v>
      </c>
      <c r="B154" s="613">
        <f>국가별수입!AD194-국가별수입!AD154</f>
        <v>224</v>
      </c>
      <c r="C154" s="613">
        <f>국가별수입!AE194-국가별수입!AE154</f>
        <v>565</v>
      </c>
      <c r="D154" s="613">
        <f>국가별수입!AF194-국가별수입!AF154</f>
        <v>1591</v>
      </c>
      <c r="E154" s="37">
        <f t="shared" si="11"/>
        <v>610.29999999999995</v>
      </c>
      <c r="F154" s="613">
        <f>국가별수입!AH194-국가별수입!AH154</f>
        <v>4124</v>
      </c>
      <c r="G154" s="37">
        <f t="shared" si="12"/>
        <v>629.9</v>
      </c>
    </row>
    <row r="155" spans="1:7" s="605" customFormat="1" ht="19.5" customHeight="1">
      <c r="A155" s="610" t="s">
        <v>505</v>
      </c>
      <c r="B155" s="613">
        <f>국가별수입!AD195-국가별수입!AD155</f>
        <v>1343</v>
      </c>
      <c r="C155" s="613">
        <f>국가별수입!AE195-국가별수입!AE155</f>
        <v>2870</v>
      </c>
      <c r="D155" s="613">
        <f>국가별수입!AF195-국가별수입!AF155</f>
        <v>2015</v>
      </c>
      <c r="E155" s="37">
        <f t="shared" si="11"/>
        <v>50</v>
      </c>
      <c r="F155" s="613">
        <f>국가별수입!AH195-국가별수입!AH155</f>
        <v>19183</v>
      </c>
      <c r="G155" s="37">
        <f t="shared" si="12"/>
        <v>568.4</v>
      </c>
    </row>
    <row r="156" spans="1:7" s="605" customFormat="1" ht="19.5" customHeight="1">
      <c r="A156" s="610" t="s">
        <v>506</v>
      </c>
      <c r="B156" s="613">
        <f>국가별수입!AD196-국가별수입!AD156</f>
        <v>551</v>
      </c>
      <c r="C156" s="613">
        <f>국가별수입!AE196-국가별수입!AE156</f>
        <v>1261</v>
      </c>
      <c r="D156" s="613">
        <f>국가별수입!AF196-국가별수입!AF156</f>
        <v>534</v>
      </c>
      <c r="E156" s="37">
        <f t="shared" si="11"/>
        <v>-3.1</v>
      </c>
      <c r="F156" s="613">
        <f>국가별수입!AH196-국가별수입!AH156</f>
        <v>783</v>
      </c>
      <c r="G156" s="37">
        <f t="shared" si="12"/>
        <v>-37.9</v>
      </c>
    </row>
    <row r="157" spans="1:7" s="605" customFormat="1" ht="19.5" customHeight="1">
      <c r="A157" s="610" t="s">
        <v>233</v>
      </c>
      <c r="B157" s="613">
        <f>국가별수입!AD197-국가별수입!AD157</f>
        <v>706</v>
      </c>
      <c r="C157" s="613">
        <f>국가별수입!AE197-국가별수입!AE157</f>
        <v>2082</v>
      </c>
      <c r="D157" s="613">
        <f>국가별수입!AF197-국가별수입!AF157</f>
        <v>2051</v>
      </c>
      <c r="E157" s="37">
        <f t="shared" si="11"/>
        <v>190.5</v>
      </c>
      <c r="F157" s="613">
        <f>국가별수입!AH197-국가별수입!AH157</f>
        <v>7150</v>
      </c>
      <c r="G157" s="37">
        <f t="shared" si="12"/>
        <v>243.4</v>
      </c>
    </row>
    <row r="158" spans="1:7" s="605" customFormat="1" ht="19.5" customHeight="1">
      <c r="A158" s="52" t="s">
        <v>18</v>
      </c>
      <c r="B158" s="33">
        <f t="shared" ref="B158:D158" si="13">B159-SUM(B128:B157)</f>
        <v>19259</v>
      </c>
      <c r="C158" s="33">
        <f t="shared" si="13"/>
        <v>98690</v>
      </c>
      <c r="D158" s="33">
        <f t="shared" si="13"/>
        <v>26850</v>
      </c>
      <c r="E158" s="38">
        <f t="shared" si="11"/>
        <v>39.4</v>
      </c>
      <c r="F158" s="33">
        <f>F159-SUM(F128:F157)</f>
        <v>176266</v>
      </c>
      <c r="G158" s="38">
        <f t="shared" si="12"/>
        <v>78.599999999999994</v>
      </c>
    </row>
    <row r="159" spans="1:7" s="605" customFormat="1" ht="19.5" customHeight="1">
      <c r="A159" s="55" t="s">
        <v>72</v>
      </c>
      <c r="B159" s="382">
        <f>국가별수입!AD199-국가별수입!AD159</f>
        <v>322717</v>
      </c>
      <c r="C159" s="382">
        <f>국가별수입!AE199-국가별수입!AE159</f>
        <v>978691</v>
      </c>
      <c r="D159" s="382">
        <f>국가별수입!AF199-국가별수입!AF159</f>
        <v>365534</v>
      </c>
      <c r="E159" s="220">
        <f t="shared" si="11"/>
        <v>13.3</v>
      </c>
      <c r="F159" s="614">
        <f>국가별수입!AH199-국가별수입!AH159</f>
        <v>1652529</v>
      </c>
      <c r="G159" s="220">
        <f t="shared" si="12"/>
        <v>68.900000000000006</v>
      </c>
    </row>
    <row r="160" spans="1:7" s="605" customFormat="1">
      <c r="A160" s="43"/>
      <c r="B160" s="612"/>
      <c r="C160" s="612"/>
      <c r="D160" s="612"/>
      <c r="E160" s="45"/>
      <c r="F160" s="612"/>
      <c r="G160" s="45"/>
    </row>
    <row r="161" spans="1:7" s="605" customFormat="1">
      <c r="A161" s="43"/>
      <c r="B161" s="612"/>
      <c r="C161" s="612"/>
      <c r="D161" s="612"/>
      <c r="E161" s="45"/>
      <c r="F161" s="612"/>
      <c r="G161" s="45"/>
    </row>
  </sheetData>
  <mergeCells count="40">
    <mergeCell ref="A81:G81"/>
    <mergeCell ref="F83:G83"/>
    <mergeCell ref="A84:A87"/>
    <mergeCell ref="B84:G84"/>
    <mergeCell ref="B85:C85"/>
    <mergeCell ref="D85:G85"/>
    <mergeCell ref="B86:B87"/>
    <mergeCell ref="C86:C87"/>
    <mergeCell ref="D86:D87"/>
    <mergeCell ref="F86:F87"/>
    <mergeCell ref="A1:G1"/>
    <mergeCell ref="F3:G3"/>
    <mergeCell ref="A4:A7"/>
    <mergeCell ref="B4:G4"/>
    <mergeCell ref="B5:C5"/>
    <mergeCell ref="D5:G5"/>
    <mergeCell ref="B6:B7"/>
    <mergeCell ref="C6:C7"/>
    <mergeCell ref="D6:D7"/>
    <mergeCell ref="F6:F7"/>
    <mergeCell ref="A41:G41"/>
    <mergeCell ref="F43:G43"/>
    <mergeCell ref="A44:A47"/>
    <mergeCell ref="B44:G44"/>
    <mergeCell ref="B45:C45"/>
    <mergeCell ref="D45:G45"/>
    <mergeCell ref="B46:B47"/>
    <mergeCell ref="C46:C47"/>
    <mergeCell ref="D46:D47"/>
    <mergeCell ref="F46:F47"/>
    <mergeCell ref="F123:G123"/>
    <mergeCell ref="A121:G121"/>
    <mergeCell ref="F126:F127"/>
    <mergeCell ref="D126:D127"/>
    <mergeCell ref="C126:C127"/>
    <mergeCell ref="B126:B127"/>
    <mergeCell ref="A124:A127"/>
    <mergeCell ref="D125:G125"/>
    <mergeCell ref="B125:C125"/>
    <mergeCell ref="B124:G124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01"/>
  <sheetViews>
    <sheetView topLeftCell="A161" zoomScaleNormal="100" workbookViewId="0">
      <selection activeCell="A161" sqref="A161:AI161"/>
    </sheetView>
  </sheetViews>
  <sheetFormatPr defaultRowHeight="16.5"/>
  <cols>
    <col min="1" max="1" width="22.625" style="20" customWidth="1"/>
    <col min="2" max="2" width="12.625" style="20" hidden="1" customWidth="1"/>
    <col min="3" max="3" width="12.625" style="21" hidden="1" customWidth="1"/>
    <col min="4" max="4" width="12.625" style="22" hidden="1" customWidth="1"/>
    <col min="5" max="5" width="12.625" style="34" hidden="1" customWidth="1"/>
    <col min="6" max="21" width="12.625" style="21" hidden="1" customWidth="1"/>
    <col min="22" max="23" width="12.625" style="164" hidden="1" customWidth="1"/>
    <col min="24" max="29" width="12.625" style="21" hidden="1" customWidth="1"/>
    <col min="30" max="32" width="12.625" style="21" customWidth="1"/>
    <col min="33" max="33" width="8.625" style="21" customWidth="1"/>
    <col min="34" max="34" width="12.625" style="21" customWidth="1"/>
    <col min="35" max="35" width="8.625" style="21" customWidth="1"/>
    <col min="36" max="16384" width="9" style="277"/>
  </cols>
  <sheetData>
    <row r="1" spans="1:35" ht="22.5" hidden="1" customHeight="1">
      <c r="A1" s="736" t="s">
        <v>509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</row>
    <row r="2" spans="1:35" ht="22.5" hidden="1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</row>
    <row r="3" spans="1:35" hidden="1">
      <c r="AI3" s="26" t="s">
        <v>0</v>
      </c>
    </row>
    <row r="4" spans="1:35" ht="21.75" hidden="1" customHeight="1">
      <c r="A4" s="758" t="s">
        <v>36</v>
      </c>
      <c r="B4" s="765" t="s">
        <v>423</v>
      </c>
      <c r="C4" s="766"/>
      <c r="D4" s="766"/>
      <c r="E4" s="767"/>
      <c r="F4" s="765" t="s">
        <v>424</v>
      </c>
      <c r="G4" s="766"/>
      <c r="H4" s="766"/>
      <c r="I4" s="767"/>
      <c r="J4" s="765" t="s">
        <v>425</v>
      </c>
      <c r="K4" s="766"/>
      <c r="L4" s="766"/>
      <c r="M4" s="767"/>
      <c r="N4" s="765" t="s">
        <v>426</v>
      </c>
      <c r="O4" s="766"/>
      <c r="P4" s="766"/>
      <c r="Q4" s="767"/>
      <c r="R4" s="765" t="s">
        <v>427</v>
      </c>
      <c r="S4" s="766"/>
      <c r="T4" s="766"/>
      <c r="U4" s="767"/>
      <c r="V4" s="765" t="s">
        <v>428</v>
      </c>
      <c r="W4" s="766"/>
      <c r="X4" s="766"/>
      <c r="Y4" s="767"/>
      <c r="Z4" s="765" t="s">
        <v>429</v>
      </c>
      <c r="AA4" s="766"/>
      <c r="AB4" s="766"/>
      <c r="AC4" s="767"/>
      <c r="AD4" s="765" t="s">
        <v>430</v>
      </c>
      <c r="AE4" s="766"/>
      <c r="AF4" s="766"/>
      <c r="AG4" s="766"/>
      <c r="AH4" s="766"/>
      <c r="AI4" s="767"/>
    </row>
    <row r="5" spans="1:35" ht="21" hidden="1" customHeight="1">
      <c r="A5" s="836"/>
      <c r="B5" s="765" t="s">
        <v>431</v>
      </c>
      <c r="C5" s="767"/>
      <c r="D5" s="765" t="s">
        <v>503</v>
      </c>
      <c r="E5" s="767"/>
      <c r="F5" s="765" t="s">
        <v>431</v>
      </c>
      <c r="G5" s="767"/>
      <c r="H5" s="765" t="s">
        <v>503</v>
      </c>
      <c r="I5" s="767"/>
      <c r="J5" s="765" t="s">
        <v>431</v>
      </c>
      <c r="K5" s="767"/>
      <c r="L5" s="765" t="s">
        <v>503</v>
      </c>
      <c r="M5" s="767"/>
      <c r="N5" s="765" t="s">
        <v>431</v>
      </c>
      <c r="O5" s="767"/>
      <c r="P5" s="765" t="s">
        <v>503</v>
      </c>
      <c r="Q5" s="767"/>
      <c r="R5" s="765" t="s">
        <v>431</v>
      </c>
      <c r="S5" s="767"/>
      <c r="T5" s="765" t="s">
        <v>503</v>
      </c>
      <c r="U5" s="767"/>
      <c r="V5" s="765" t="s">
        <v>431</v>
      </c>
      <c r="W5" s="767"/>
      <c r="X5" s="765" t="s">
        <v>503</v>
      </c>
      <c r="Y5" s="767"/>
      <c r="Z5" s="765" t="s">
        <v>431</v>
      </c>
      <c r="AA5" s="767"/>
      <c r="AB5" s="765" t="s">
        <v>503</v>
      </c>
      <c r="AC5" s="767"/>
      <c r="AD5" s="765" t="s">
        <v>431</v>
      </c>
      <c r="AE5" s="767"/>
      <c r="AF5" s="765" t="s">
        <v>503</v>
      </c>
      <c r="AG5" s="766"/>
      <c r="AH5" s="766"/>
      <c r="AI5" s="767"/>
    </row>
    <row r="6" spans="1:35" ht="16.5" hidden="1" customHeight="1">
      <c r="A6" s="836"/>
      <c r="B6" s="758" t="s">
        <v>37</v>
      </c>
      <c r="C6" s="758" t="s">
        <v>38</v>
      </c>
      <c r="D6" s="758" t="s">
        <v>39</v>
      </c>
      <c r="E6" s="758" t="s">
        <v>38</v>
      </c>
      <c r="F6" s="758" t="s">
        <v>40</v>
      </c>
      <c r="G6" s="758" t="s">
        <v>38</v>
      </c>
      <c r="H6" s="758" t="s">
        <v>39</v>
      </c>
      <c r="I6" s="758" t="s">
        <v>38</v>
      </c>
      <c r="J6" s="758" t="s">
        <v>37</v>
      </c>
      <c r="K6" s="758" t="s">
        <v>38</v>
      </c>
      <c r="L6" s="758" t="s">
        <v>39</v>
      </c>
      <c r="M6" s="758" t="s">
        <v>38</v>
      </c>
      <c r="N6" s="758" t="s">
        <v>37</v>
      </c>
      <c r="O6" s="758" t="s">
        <v>38</v>
      </c>
      <c r="P6" s="758" t="s">
        <v>39</v>
      </c>
      <c r="Q6" s="758" t="s">
        <v>38</v>
      </c>
      <c r="R6" s="758" t="s">
        <v>37</v>
      </c>
      <c r="S6" s="758" t="s">
        <v>38</v>
      </c>
      <c r="T6" s="758" t="s">
        <v>39</v>
      </c>
      <c r="U6" s="758" t="s">
        <v>38</v>
      </c>
      <c r="V6" s="758" t="s">
        <v>37</v>
      </c>
      <c r="W6" s="758" t="s">
        <v>38</v>
      </c>
      <c r="X6" s="758" t="s">
        <v>41</v>
      </c>
      <c r="Y6" s="758" t="s">
        <v>38</v>
      </c>
      <c r="Z6" s="758" t="s">
        <v>37</v>
      </c>
      <c r="AA6" s="758" t="s">
        <v>38</v>
      </c>
      <c r="AB6" s="758" t="s">
        <v>39</v>
      </c>
      <c r="AC6" s="758" t="s">
        <v>38</v>
      </c>
      <c r="AD6" s="758" t="s">
        <v>37</v>
      </c>
      <c r="AE6" s="758" t="s">
        <v>38</v>
      </c>
      <c r="AF6" s="772" t="s">
        <v>39</v>
      </c>
      <c r="AG6" s="27"/>
      <c r="AH6" s="772" t="s">
        <v>38</v>
      </c>
      <c r="AI6" s="27"/>
    </row>
    <row r="7" spans="1:35" ht="16.5" hidden="1" customHeight="1" thickBot="1">
      <c r="A7" s="835"/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4"/>
      <c r="AG7" s="28" t="s">
        <v>42</v>
      </c>
      <c r="AH7" s="834"/>
      <c r="AI7" s="28" t="s">
        <v>42</v>
      </c>
    </row>
    <row r="8" spans="1:35" ht="19.5" hidden="1" customHeight="1" thickTop="1">
      <c r="A8" s="610" t="s">
        <v>43</v>
      </c>
      <c r="B8" s="32">
        <v>6787</v>
      </c>
      <c r="C8" s="32">
        <v>43460</v>
      </c>
      <c r="D8" s="32">
        <v>5813</v>
      </c>
      <c r="E8" s="32">
        <v>45841</v>
      </c>
      <c r="F8" s="32">
        <v>0</v>
      </c>
      <c r="G8" s="32">
        <v>0</v>
      </c>
      <c r="H8" s="32">
        <v>0</v>
      </c>
      <c r="I8" s="32">
        <v>0</v>
      </c>
      <c r="J8" s="32">
        <v>31432</v>
      </c>
      <c r="K8" s="32">
        <v>99511</v>
      </c>
      <c r="L8" s="32">
        <v>28819</v>
      </c>
      <c r="M8" s="32">
        <v>100637</v>
      </c>
      <c r="N8" s="32">
        <v>3</v>
      </c>
      <c r="O8" s="32">
        <v>18</v>
      </c>
      <c r="P8" s="32">
        <v>11</v>
      </c>
      <c r="Q8" s="32">
        <v>55</v>
      </c>
      <c r="R8" s="32">
        <v>62</v>
      </c>
      <c r="S8" s="32">
        <v>575</v>
      </c>
      <c r="T8" s="32">
        <v>30</v>
      </c>
      <c r="U8" s="32">
        <v>362</v>
      </c>
      <c r="V8" s="32">
        <v>44</v>
      </c>
      <c r="W8" s="32">
        <v>655</v>
      </c>
      <c r="X8" s="32">
        <v>161</v>
      </c>
      <c r="Y8" s="32">
        <v>3228</v>
      </c>
      <c r="Z8" s="32">
        <v>11917</v>
      </c>
      <c r="AA8" s="32">
        <v>38235</v>
      </c>
      <c r="AB8" s="32">
        <v>10275</v>
      </c>
      <c r="AC8" s="32">
        <v>37773</v>
      </c>
      <c r="AD8" s="32">
        <f>SUM(B8+F8+J8+N8+R8+V8+Z8)</f>
        <v>50245</v>
      </c>
      <c r="AE8" s="32">
        <f>SUM(C8+G8+K8+O8+S8+W8+AA8)</f>
        <v>182454</v>
      </c>
      <c r="AF8" s="32">
        <f>SUM(D8+H8+L8+P8+T8+X8+AB8)</f>
        <v>45109</v>
      </c>
      <c r="AG8" s="37">
        <f>ROUND(((AF8/AD8-1)*100),1)</f>
        <v>-10.199999999999999</v>
      </c>
      <c r="AH8" s="32">
        <f>SUM(E8+I8+M8+Q8+U8+Y8+AC8)</f>
        <v>187896</v>
      </c>
      <c r="AI8" s="37">
        <f>ROUND(((AH8/AE8-1)*100),1)</f>
        <v>3</v>
      </c>
    </row>
    <row r="9" spans="1:35" ht="19.5" hidden="1" customHeight="1">
      <c r="A9" s="610" t="s">
        <v>45</v>
      </c>
      <c r="B9" s="32">
        <v>628</v>
      </c>
      <c r="C9" s="32">
        <v>1413</v>
      </c>
      <c r="D9" s="32">
        <v>314</v>
      </c>
      <c r="E9" s="32">
        <v>2125</v>
      </c>
      <c r="F9" s="32">
        <v>7</v>
      </c>
      <c r="G9" s="32">
        <v>147</v>
      </c>
      <c r="H9" s="32">
        <v>6</v>
      </c>
      <c r="I9" s="32">
        <v>131</v>
      </c>
      <c r="J9" s="32">
        <v>38459</v>
      </c>
      <c r="K9" s="32">
        <v>71894</v>
      </c>
      <c r="L9" s="32">
        <v>44704</v>
      </c>
      <c r="M9" s="32">
        <v>96133</v>
      </c>
      <c r="N9" s="32">
        <v>5445</v>
      </c>
      <c r="O9" s="32">
        <v>11722</v>
      </c>
      <c r="P9" s="32">
        <v>6646</v>
      </c>
      <c r="Q9" s="32">
        <v>13617</v>
      </c>
      <c r="R9" s="32">
        <v>2978</v>
      </c>
      <c r="S9" s="32">
        <v>7562</v>
      </c>
      <c r="T9" s="32">
        <v>2293</v>
      </c>
      <c r="U9" s="32">
        <v>6381</v>
      </c>
      <c r="V9" s="32">
        <v>20</v>
      </c>
      <c r="W9" s="32">
        <v>192</v>
      </c>
      <c r="X9" s="32">
        <v>18</v>
      </c>
      <c r="Y9" s="32">
        <v>203</v>
      </c>
      <c r="Z9" s="32">
        <v>9</v>
      </c>
      <c r="AA9" s="32">
        <v>126</v>
      </c>
      <c r="AB9" s="32">
        <v>49</v>
      </c>
      <c r="AC9" s="32">
        <v>183</v>
      </c>
      <c r="AD9" s="32">
        <f>SUM(B9+F9+J9+N9+R9+V9+Z9)</f>
        <v>47546</v>
      </c>
      <c r="AE9" s="32">
        <f t="shared" ref="AE9:AF37" si="0">SUM(C9+G9+K9+O9+S9+W9+AA9)</f>
        <v>93056</v>
      </c>
      <c r="AF9" s="32">
        <f t="shared" si="0"/>
        <v>54030</v>
      </c>
      <c r="AG9" s="37">
        <f t="shared" ref="AG9:AG39" si="1">ROUND(((AF9/AD9-1)*100),1)</f>
        <v>13.6</v>
      </c>
      <c r="AH9" s="32">
        <f t="shared" ref="AH9:AH37" si="2">SUM(E9+I9+M9+Q9+U9+Y9+AC9)</f>
        <v>118773</v>
      </c>
      <c r="AI9" s="37">
        <f t="shared" ref="AI9:AI39" si="3">ROUND(((AH9/AE9-1)*100),1)</f>
        <v>27.6</v>
      </c>
    </row>
    <row r="10" spans="1:35" ht="19.5" hidden="1" customHeight="1">
      <c r="A10" s="610" t="s">
        <v>54</v>
      </c>
      <c r="B10" s="32">
        <v>1515</v>
      </c>
      <c r="C10" s="32">
        <v>8524</v>
      </c>
      <c r="D10" s="32">
        <v>1053</v>
      </c>
      <c r="E10" s="32">
        <v>7706</v>
      </c>
      <c r="F10" s="32">
        <v>1733</v>
      </c>
      <c r="G10" s="32">
        <v>24461</v>
      </c>
      <c r="H10" s="32">
        <v>1200</v>
      </c>
      <c r="I10" s="32">
        <v>19913</v>
      </c>
      <c r="J10" s="32">
        <v>30373</v>
      </c>
      <c r="K10" s="32">
        <v>55466</v>
      </c>
      <c r="L10" s="32">
        <v>39203</v>
      </c>
      <c r="M10" s="32">
        <v>79880</v>
      </c>
      <c r="N10" s="32">
        <v>1812</v>
      </c>
      <c r="O10" s="32">
        <v>3380</v>
      </c>
      <c r="P10" s="32">
        <v>583</v>
      </c>
      <c r="Q10" s="32">
        <v>1330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229</v>
      </c>
      <c r="AA10" s="32">
        <v>571</v>
      </c>
      <c r="AB10" s="32">
        <v>378</v>
      </c>
      <c r="AC10" s="32">
        <v>192</v>
      </c>
      <c r="AD10" s="32">
        <f t="shared" ref="AD10:AD37" si="4">SUM(B10+F10+J10+N10+R10+V10+Z10)</f>
        <v>35662</v>
      </c>
      <c r="AE10" s="32">
        <f t="shared" si="0"/>
        <v>92402</v>
      </c>
      <c r="AF10" s="32">
        <f t="shared" si="0"/>
        <v>42417</v>
      </c>
      <c r="AG10" s="37">
        <f t="shared" si="1"/>
        <v>18.899999999999999</v>
      </c>
      <c r="AH10" s="32">
        <f t="shared" si="2"/>
        <v>109021</v>
      </c>
      <c r="AI10" s="37">
        <f t="shared" si="3"/>
        <v>18</v>
      </c>
    </row>
    <row r="11" spans="1:35" ht="19.5" hidden="1" customHeight="1">
      <c r="A11" s="610" t="s">
        <v>46</v>
      </c>
      <c r="B11" s="32">
        <v>9711</v>
      </c>
      <c r="C11" s="32">
        <v>53042</v>
      </c>
      <c r="D11" s="32">
        <v>4739</v>
      </c>
      <c r="E11" s="32">
        <v>32363</v>
      </c>
      <c r="F11" s="32">
        <v>303</v>
      </c>
      <c r="G11" s="32">
        <v>6829</v>
      </c>
      <c r="H11" s="32">
        <v>157</v>
      </c>
      <c r="I11" s="32">
        <v>6091</v>
      </c>
      <c r="J11" s="32">
        <v>25359</v>
      </c>
      <c r="K11" s="32">
        <v>46487</v>
      </c>
      <c r="L11" s="32">
        <v>20716</v>
      </c>
      <c r="M11" s="32">
        <v>42976</v>
      </c>
      <c r="N11" s="32">
        <v>6</v>
      </c>
      <c r="O11" s="32">
        <v>18</v>
      </c>
      <c r="P11" s="32">
        <v>177</v>
      </c>
      <c r="Q11" s="32">
        <v>354</v>
      </c>
      <c r="R11" s="32">
        <v>38</v>
      </c>
      <c r="S11" s="32">
        <v>73</v>
      </c>
      <c r="T11" s="32">
        <v>19</v>
      </c>
      <c r="U11" s="32">
        <v>51</v>
      </c>
      <c r="V11" s="32">
        <v>0</v>
      </c>
      <c r="W11" s="32">
        <v>40</v>
      </c>
      <c r="X11" s="32">
        <v>1</v>
      </c>
      <c r="Y11" s="32">
        <v>32</v>
      </c>
      <c r="Z11" s="32">
        <v>202</v>
      </c>
      <c r="AA11" s="32">
        <v>20319</v>
      </c>
      <c r="AB11" s="32">
        <v>72</v>
      </c>
      <c r="AC11" s="32">
        <v>9851</v>
      </c>
      <c r="AD11" s="32">
        <f t="shared" si="4"/>
        <v>35619</v>
      </c>
      <c r="AE11" s="32">
        <f t="shared" si="0"/>
        <v>126808</v>
      </c>
      <c r="AF11" s="32">
        <f t="shared" si="0"/>
        <v>25881</v>
      </c>
      <c r="AG11" s="37">
        <f t="shared" si="1"/>
        <v>-27.3</v>
      </c>
      <c r="AH11" s="32">
        <f t="shared" si="2"/>
        <v>91718</v>
      </c>
      <c r="AI11" s="37">
        <f t="shared" si="3"/>
        <v>-27.7</v>
      </c>
    </row>
    <row r="12" spans="1:35" ht="19.5" hidden="1" customHeight="1">
      <c r="A12" s="610" t="s">
        <v>47</v>
      </c>
      <c r="B12" s="32">
        <v>2881</v>
      </c>
      <c r="C12" s="32">
        <v>37386</v>
      </c>
      <c r="D12" s="32">
        <v>2887</v>
      </c>
      <c r="E12" s="32">
        <v>48039</v>
      </c>
      <c r="F12" s="32">
        <v>0</v>
      </c>
      <c r="G12" s="32">
        <v>0</v>
      </c>
      <c r="H12" s="32">
        <v>0</v>
      </c>
      <c r="I12" s="32">
        <v>0</v>
      </c>
      <c r="J12" s="32">
        <v>10511</v>
      </c>
      <c r="K12" s="32">
        <v>22193</v>
      </c>
      <c r="L12" s="32">
        <v>7691</v>
      </c>
      <c r="M12" s="32">
        <v>27130</v>
      </c>
      <c r="N12" s="32">
        <v>535</v>
      </c>
      <c r="O12" s="32">
        <v>1097</v>
      </c>
      <c r="P12" s="32">
        <v>408</v>
      </c>
      <c r="Q12" s="32">
        <v>844</v>
      </c>
      <c r="R12" s="32">
        <v>45</v>
      </c>
      <c r="S12" s="32">
        <v>121</v>
      </c>
      <c r="T12" s="32">
        <v>37</v>
      </c>
      <c r="U12" s="32">
        <v>61</v>
      </c>
      <c r="V12" s="32">
        <v>13</v>
      </c>
      <c r="W12" s="32">
        <v>1056</v>
      </c>
      <c r="X12" s="32">
        <v>22</v>
      </c>
      <c r="Y12" s="32">
        <v>1074</v>
      </c>
      <c r="Z12" s="32">
        <v>66</v>
      </c>
      <c r="AA12" s="32">
        <v>5168</v>
      </c>
      <c r="AB12" s="32">
        <v>389</v>
      </c>
      <c r="AC12" s="32">
        <v>9922</v>
      </c>
      <c r="AD12" s="32">
        <f t="shared" si="4"/>
        <v>14051</v>
      </c>
      <c r="AE12" s="32">
        <f t="shared" si="0"/>
        <v>67021</v>
      </c>
      <c r="AF12" s="32">
        <f t="shared" si="0"/>
        <v>11434</v>
      </c>
      <c r="AG12" s="37">
        <f t="shared" si="1"/>
        <v>-18.600000000000001</v>
      </c>
      <c r="AH12" s="32">
        <f t="shared" si="2"/>
        <v>87070</v>
      </c>
      <c r="AI12" s="37">
        <f t="shared" si="3"/>
        <v>29.9</v>
      </c>
    </row>
    <row r="13" spans="1:35" ht="19.5" hidden="1" customHeight="1">
      <c r="A13" s="610" t="s">
        <v>77</v>
      </c>
      <c r="B13" s="32">
        <v>13913</v>
      </c>
      <c r="C13" s="32">
        <v>81934</v>
      </c>
      <c r="D13" s="32">
        <v>24483</v>
      </c>
      <c r="E13" s="32">
        <v>185603</v>
      </c>
      <c r="F13" s="32">
        <v>0</v>
      </c>
      <c r="G13" s="32">
        <v>0</v>
      </c>
      <c r="H13" s="32">
        <v>0</v>
      </c>
      <c r="I13" s="32">
        <v>0</v>
      </c>
      <c r="J13" s="32">
        <v>171</v>
      </c>
      <c r="K13" s="32">
        <v>202</v>
      </c>
      <c r="L13" s="32">
        <v>165</v>
      </c>
      <c r="M13" s="32">
        <v>201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f t="shared" si="4"/>
        <v>14084</v>
      </c>
      <c r="AE13" s="32">
        <f t="shared" si="0"/>
        <v>82136</v>
      </c>
      <c r="AF13" s="32">
        <f t="shared" si="0"/>
        <v>24648</v>
      </c>
      <c r="AG13" s="37">
        <f t="shared" si="1"/>
        <v>75</v>
      </c>
      <c r="AH13" s="32">
        <f t="shared" si="2"/>
        <v>185804</v>
      </c>
      <c r="AI13" s="37">
        <f t="shared" si="3"/>
        <v>126.2</v>
      </c>
    </row>
    <row r="14" spans="1:35" ht="19.5" hidden="1" customHeight="1">
      <c r="A14" s="610" t="s">
        <v>49</v>
      </c>
      <c r="B14" s="32">
        <v>3534</v>
      </c>
      <c r="C14" s="32">
        <v>17822</v>
      </c>
      <c r="D14" s="32">
        <v>2592</v>
      </c>
      <c r="E14" s="32">
        <v>16775</v>
      </c>
      <c r="F14" s="32">
        <v>1</v>
      </c>
      <c r="G14" s="32">
        <v>13</v>
      </c>
      <c r="H14" s="32">
        <v>1</v>
      </c>
      <c r="I14" s="32">
        <v>14</v>
      </c>
      <c r="J14" s="32">
        <v>16196</v>
      </c>
      <c r="K14" s="32">
        <v>30164</v>
      </c>
      <c r="L14" s="32">
        <v>11839</v>
      </c>
      <c r="M14" s="32">
        <v>24421</v>
      </c>
      <c r="N14" s="32">
        <v>49</v>
      </c>
      <c r="O14" s="32">
        <v>88</v>
      </c>
      <c r="P14" s="32">
        <v>0</v>
      </c>
      <c r="Q14" s="32">
        <v>0</v>
      </c>
      <c r="R14" s="32">
        <v>10</v>
      </c>
      <c r="S14" s="32">
        <v>28</v>
      </c>
      <c r="T14" s="32">
        <v>1</v>
      </c>
      <c r="U14" s="32">
        <v>2</v>
      </c>
      <c r="V14" s="32">
        <v>145</v>
      </c>
      <c r="W14" s="32">
        <v>2452</v>
      </c>
      <c r="X14" s="32">
        <v>125</v>
      </c>
      <c r="Y14" s="32">
        <v>2435</v>
      </c>
      <c r="Z14" s="32">
        <v>79</v>
      </c>
      <c r="AA14" s="32">
        <v>203</v>
      </c>
      <c r="AB14" s="32">
        <v>0</v>
      </c>
      <c r="AC14" s="32">
        <v>0</v>
      </c>
      <c r="AD14" s="32">
        <f t="shared" si="4"/>
        <v>20014</v>
      </c>
      <c r="AE14" s="32">
        <f t="shared" si="0"/>
        <v>50770</v>
      </c>
      <c r="AF14" s="32">
        <f t="shared" si="0"/>
        <v>14558</v>
      </c>
      <c r="AG14" s="37">
        <f t="shared" si="1"/>
        <v>-27.3</v>
      </c>
      <c r="AH14" s="32">
        <f t="shared" si="2"/>
        <v>43647</v>
      </c>
      <c r="AI14" s="37">
        <f t="shared" si="3"/>
        <v>-14</v>
      </c>
    </row>
    <row r="15" spans="1:35" ht="19.5" hidden="1" customHeight="1">
      <c r="A15" s="610" t="s">
        <v>57</v>
      </c>
      <c r="B15" s="32">
        <v>761</v>
      </c>
      <c r="C15" s="32">
        <v>4124</v>
      </c>
      <c r="D15" s="32">
        <v>1045</v>
      </c>
      <c r="E15" s="32">
        <v>7123</v>
      </c>
      <c r="F15" s="32">
        <v>0</v>
      </c>
      <c r="G15" s="32">
        <v>0</v>
      </c>
      <c r="H15" s="32">
        <v>0</v>
      </c>
      <c r="I15" s="32">
        <v>0</v>
      </c>
      <c r="J15" s="32">
        <v>10331</v>
      </c>
      <c r="K15" s="32">
        <v>17759</v>
      </c>
      <c r="L15" s="32">
        <v>14744</v>
      </c>
      <c r="M15" s="32">
        <v>27810</v>
      </c>
      <c r="N15" s="32">
        <v>1243</v>
      </c>
      <c r="O15" s="32">
        <v>2632</v>
      </c>
      <c r="P15" s="32">
        <v>474</v>
      </c>
      <c r="Q15" s="32">
        <v>912</v>
      </c>
      <c r="R15" s="32">
        <v>0</v>
      </c>
      <c r="S15" s="32">
        <v>0</v>
      </c>
      <c r="T15" s="32">
        <v>1</v>
      </c>
      <c r="U15" s="32">
        <v>3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31</v>
      </c>
      <c r="AC15" s="32">
        <v>88</v>
      </c>
      <c r="AD15" s="32">
        <f t="shared" si="4"/>
        <v>12335</v>
      </c>
      <c r="AE15" s="32">
        <f t="shared" si="0"/>
        <v>24515</v>
      </c>
      <c r="AF15" s="32">
        <f t="shared" si="0"/>
        <v>16295</v>
      </c>
      <c r="AG15" s="37">
        <f t="shared" si="1"/>
        <v>32.1</v>
      </c>
      <c r="AH15" s="32">
        <f t="shared" si="2"/>
        <v>35936</v>
      </c>
      <c r="AI15" s="37">
        <f t="shared" si="3"/>
        <v>46.6</v>
      </c>
    </row>
    <row r="16" spans="1:35" ht="19.5" hidden="1" customHeight="1">
      <c r="A16" s="610" t="s">
        <v>79</v>
      </c>
      <c r="B16" s="32">
        <v>0</v>
      </c>
      <c r="C16" s="32">
        <v>0</v>
      </c>
      <c r="D16" s="32">
        <v>5</v>
      </c>
      <c r="E16" s="32">
        <v>42</v>
      </c>
      <c r="F16" s="32">
        <v>3</v>
      </c>
      <c r="G16" s="32">
        <v>77</v>
      </c>
      <c r="H16" s="32">
        <v>2</v>
      </c>
      <c r="I16" s="32">
        <v>38</v>
      </c>
      <c r="J16" s="32">
        <v>8603</v>
      </c>
      <c r="K16" s="32">
        <v>16671</v>
      </c>
      <c r="L16" s="32">
        <v>13593</v>
      </c>
      <c r="M16" s="32">
        <v>29577</v>
      </c>
      <c r="N16" s="32">
        <v>0</v>
      </c>
      <c r="O16" s="32">
        <v>0</v>
      </c>
      <c r="P16" s="32">
        <v>682</v>
      </c>
      <c r="Q16" s="32">
        <v>1279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488</v>
      </c>
      <c r="AA16" s="32">
        <v>3450</v>
      </c>
      <c r="AB16" s="32">
        <v>265</v>
      </c>
      <c r="AC16" s="32">
        <v>1729</v>
      </c>
      <c r="AD16" s="32">
        <f t="shared" si="4"/>
        <v>9094</v>
      </c>
      <c r="AE16" s="32">
        <f t="shared" si="0"/>
        <v>20198</v>
      </c>
      <c r="AF16" s="32">
        <f t="shared" si="0"/>
        <v>14547</v>
      </c>
      <c r="AG16" s="37">
        <f t="shared" si="1"/>
        <v>60</v>
      </c>
      <c r="AH16" s="32">
        <f t="shared" si="2"/>
        <v>32665</v>
      </c>
      <c r="AI16" s="37">
        <f t="shared" si="3"/>
        <v>61.7</v>
      </c>
    </row>
    <row r="17" spans="1:35" ht="19.5" hidden="1" customHeight="1">
      <c r="A17" s="610" t="s">
        <v>48</v>
      </c>
      <c r="B17" s="32">
        <v>884</v>
      </c>
      <c r="C17" s="32">
        <v>5258</v>
      </c>
      <c r="D17" s="32">
        <v>1653</v>
      </c>
      <c r="E17" s="32">
        <v>11241</v>
      </c>
      <c r="F17" s="32">
        <v>0</v>
      </c>
      <c r="G17" s="32">
        <v>0</v>
      </c>
      <c r="H17" s="32">
        <v>0</v>
      </c>
      <c r="I17" s="32">
        <v>0</v>
      </c>
      <c r="J17" s="32">
        <v>8607</v>
      </c>
      <c r="K17" s="32">
        <v>14822</v>
      </c>
      <c r="L17" s="32">
        <v>5236</v>
      </c>
      <c r="M17" s="32">
        <v>8963</v>
      </c>
      <c r="N17" s="32">
        <v>0</v>
      </c>
      <c r="O17" s="32">
        <v>0</v>
      </c>
      <c r="P17" s="32">
        <v>150</v>
      </c>
      <c r="Q17" s="32">
        <v>290</v>
      </c>
      <c r="R17" s="32">
        <v>0</v>
      </c>
      <c r="S17" s="32">
        <v>0</v>
      </c>
      <c r="T17" s="32">
        <v>0</v>
      </c>
      <c r="U17" s="32">
        <v>0</v>
      </c>
      <c r="V17" s="32">
        <v>119</v>
      </c>
      <c r="W17" s="32">
        <v>2359</v>
      </c>
      <c r="X17" s="32">
        <v>102</v>
      </c>
      <c r="Y17" s="32">
        <v>2327</v>
      </c>
      <c r="Z17" s="32">
        <v>0</v>
      </c>
      <c r="AA17" s="32">
        <v>0</v>
      </c>
      <c r="AB17" s="32">
        <v>0</v>
      </c>
      <c r="AC17" s="32">
        <v>0</v>
      </c>
      <c r="AD17" s="32">
        <f t="shared" si="4"/>
        <v>9610</v>
      </c>
      <c r="AE17" s="32">
        <f t="shared" si="0"/>
        <v>22439</v>
      </c>
      <c r="AF17" s="32">
        <f t="shared" si="0"/>
        <v>7141</v>
      </c>
      <c r="AG17" s="37">
        <f t="shared" si="1"/>
        <v>-25.7</v>
      </c>
      <c r="AH17" s="32">
        <f t="shared" si="2"/>
        <v>22821</v>
      </c>
      <c r="AI17" s="37">
        <f t="shared" si="3"/>
        <v>1.7</v>
      </c>
    </row>
    <row r="18" spans="1:35" ht="19.5" hidden="1" customHeight="1">
      <c r="A18" s="610" t="s">
        <v>56</v>
      </c>
      <c r="B18" s="32">
        <v>2175</v>
      </c>
      <c r="C18" s="32">
        <v>11772</v>
      </c>
      <c r="D18" s="32">
        <v>1986</v>
      </c>
      <c r="E18" s="32">
        <v>13471</v>
      </c>
      <c r="F18" s="32">
        <v>0</v>
      </c>
      <c r="G18" s="32">
        <v>0</v>
      </c>
      <c r="H18" s="32">
        <v>0</v>
      </c>
      <c r="I18" s="32">
        <v>0</v>
      </c>
      <c r="J18" s="32">
        <v>4171</v>
      </c>
      <c r="K18" s="32">
        <v>5452</v>
      </c>
      <c r="L18" s="32">
        <v>6267</v>
      </c>
      <c r="M18" s="32">
        <v>11522</v>
      </c>
      <c r="N18" s="32">
        <v>0</v>
      </c>
      <c r="O18" s="32">
        <v>0</v>
      </c>
      <c r="P18" s="32">
        <v>331</v>
      </c>
      <c r="Q18" s="32">
        <v>609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f t="shared" si="4"/>
        <v>6346</v>
      </c>
      <c r="AE18" s="32">
        <f t="shared" si="0"/>
        <v>17224</v>
      </c>
      <c r="AF18" s="32">
        <f t="shared" si="0"/>
        <v>8584</v>
      </c>
      <c r="AG18" s="37">
        <f t="shared" si="1"/>
        <v>35.299999999999997</v>
      </c>
      <c r="AH18" s="32">
        <f t="shared" si="2"/>
        <v>25602</v>
      </c>
      <c r="AI18" s="37">
        <f t="shared" si="3"/>
        <v>48.6</v>
      </c>
    </row>
    <row r="19" spans="1:35" ht="19.5" hidden="1" customHeight="1">
      <c r="A19" s="610" t="s">
        <v>44</v>
      </c>
      <c r="B19" s="32">
        <v>734</v>
      </c>
      <c r="C19" s="32">
        <v>5034</v>
      </c>
      <c r="D19" s="32">
        <v>1004</v>
      </c>
      <c r="E19" s="32">
        <v>7170</v>
      </c>
      <c r="F19" s="32">
        <v>19</v>
      </c>
      <c r="G19" s="32">
        <v>28</v>
      </c>
      <c r="H19" s="32">
        <v>0</v>
      </c>
      <c r="I19" s="32">
        <v>15</v>
      </c>
      <c r="J19" s="32">
        <v>5047</v>
      </c>
      <c r="K19" s="32">
        <v>12695</v>
      </c>
      <c r="L19" s="32">
        <v>4026</v>
      </c>
      <c r="M19" s="32">
        <v>13603</v>
      </c>
      <c r="N19" s="32">
        <v>2</v>
      </c>
      <c r="O19" s="32">
        <v>1</v>
      </c>
      <c r="P19" s="32">
        <v>20</v>
      </c>
      <c r="Q19" s="32">
        <v>330</v>
      </c>
      <c r="R19" s="32">
        <v>456</v>
      </c>
      <c r="S19" s="32">
        <v>936</v>
      </c>
      <c r="T19" s="32">
        <v>108</v>
      </c>
      <c r="U19" s="32">
        <v>275</v>
      </c>
      <c r="V19" s="32">
        <v>0</v>
      </c>
      <c r="W19" s="32">
        <v>0</v>
      </c>
      <c r="X19" s="32">
        <v>0</v>
      </c>
      <c r="Y19" s="32">
        <v>0</v>
      </c>
      <c r="Z19" s="32">
        <v>2</v>
      </c>
      <c r="AA19" s="32">
        <v>277</v>
      </c>
      <c r="AB19" s="32">
        <v>281</v>
      </c>
      <c r="AC19" s="32">
        <v>1937</v>
      </c>
      <c r="AD19" s="32">
        <f t="shared" si="4"/>
        <v>6260</v>
      </c>
      <c r="AE19" s="32">
        <f t="shared" si="0"/>
        <v>18971</v>
      </c>
      <c r="AF19" s="32">
        <f t="shared" si="0"/>
        <v>5439</v>
      </c>
      <c r="AG19" s="37">
        <f t="shared" si="1"/>
        <v>-13.1</v>
      </c>
      <c r="AH19" s="32">
        <f t="shared" si="2"/>
        <v>23330</v>
      </c>
      <c r="AI19" s="37">
        <f t="shared" si="3"/>
        <v>23</v>
      </c>
    </row>
    <row r="20" spans="1:35" ht="19.5" hidden="1" customHeight="1">
      <c r="A20" s="610" t="s">
        <v>80</v>
      </c>
      <c r="B20" s="32">
        <v>415</v>
      </c>
      <c r="C20" s="32">
        <v>2279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7739</v>
      </c>
      <c r="K20" s="32">
        <v>15037</v>
      </c>
      <c r="L20" s="32">
        <v>5489</v>
      </c>
      <c r="M20" s="32">
        <v>11682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f t="shared" si="4"/>
        <v>8154</v>
      </c>
      <c r="AE20" s="32">
        <f t="shared" si="0"/>
        <v>17316</v>
      </c>
      <c r="AF20" s="32">
        <f t="shared" si="0"/>
        <v>5489</v>
      </c>
      <c r="AG20" s="37">
        <f t="shared" si="1"/>
        <v>-32.700000000000003</v>
      </c>
      <c r="AH20" s="32">
        <f t="shared" si="2"/>
        <v>11682</v>
      </c>
      <c r="AI20" s="37">
        <f t="shared" si="3"/>
        <v>-32.5</v>
      </c>
    </row>
    <row r="21" spans="1:35" ht="19.5" hidden="1" customHeight="1">
      <c r="A21" s="610" t="s">
        <v>50</v>
      </c>
      <c r="B21" s="32">
        <v>2566</v>
      </c>
      <c r="C21" s="32">
        <v>19562</v>
      </c>
      <c r="D21" s="32">
        <v>2755</v>
      </c>
      <c r="E21" s="32">
        <v>23348</v>
      </c>
      <c r="F21" s="32">
        <v>0</v>
      </c>
      <c r="G21" s="32">
        <v>28</v>
      </c>
      <c r="H21" s="32">
        <v>0</v>
      </c>
      <c r="I21" s="32">
        <v>8</v>
      </c>
      <c r="J21" s="32">
        <v>2700</v>
      </c>
      <c r="K21" s="32">
        <v>5392</v>
      </c>
      <c r="L21" s="32">
        <v>3771</v>
      </c>
      <c r="M21" s="32">
        <v>7474</v>
      </c>
      <c r="N21" s="32">
        <v>0</v>
      </c>
      <c r="O21" s="32">
        <v>1</v>
      </c>
      <c r="P21" s="32">
        <v>149</v>
      </c>
      <c r="Q21" s="32">
        <v>293</v>
      </c>
      <c r="R21" s="32">
        <v>0</v>
      </c>
      <c r="S21" s="32">
        <v>2</v>
      </c>
      <c r="T21" s="32">
        <v>0</v>
      </c>
      <c r="U21" s="32">
        <v>3</v>
      </c>
      <c r="V21" s="32">
        <v>1</v>
      </c>
      <c r="W21" s="32">
        <v>21</v>
      </c>
      <c r="X21" s="32">
        <v>0</v>
      </c>
      <c r="Y21" s="32">
        <v>24</v>
      </c>
      <c r="Z21" s="32">
        <v>45</v>
      </c>
      <c r="AA21" s="32">
        <v>626</v>
      </c>
      <c r="AB21" s="32">
        <v>322</v>
      </c>
      <c r="AC21" s="32">
        <v>1513</v>
      </c>
      <c r="AD21" s="32">
        <f t="shared" si="4"/>
        <v>5312</v>
      </c>
      <c r="AE21" s="32">
        <f t="shared" si="0"/>
        <v>25632</v>
      </c>
      <c r="AF21" s="32">
        <f t="shared" si="0"/>
        <v>6997</v>
      </c>
      <c r="AG21" s="37">
        <f t="shared" si="1"/>
        <v>31.7</v>
      </c>
      <c r="AH21" s="32">
        <f t="shared" si="2"/>
        <v>32663</v>
      </c>
      <c r="AI21" s="37">
        <f t="shared" si="3"/>
        <v>27.4</v>
      </c>
    </row>
    <row r="22" spans="1:35" ht="19.5" hidden="1" customHeight="1">
      <c r="A22" s="610" t="s">
        <v>78</v>
      </c>
      <c r="B22" s="32">
        <v>3902</v>
      </c>
      <c r="C22" s="32">
        <v>23457</v>
      </c>
      <c r="D22" s="32">
        <v>5959</v>
      </c>
      <c r="E22" s="32">
        <v>45035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137</v>
      </c>
      <c r="AA22" s="32">
        <v>1002</v>
      </c>
      <c r="AB22" s="32">
        <v>239</v>
      </c>
      <c r="AC22" s="32">
        <v>1586</v>
      </c>
      <c r="AD22" s="32">
        <f t="shared" si="4"/>
        <v>4039</v>
      </c>
      <c r="AE22" s="32">
        <f t="shared" si="0"/>
        <v>24459</v>
      </c>
      <c r="AF22" s="32">
        <f t="shared" si="0"/>
        <v>6198</v>
      </c>
      <c r="AG22" s="37">
        <f t="shared" si="1"/>
        <v>53.5</v>
      </c>
      <c r="AH22" s="32">
        <f t="shared" si="2"/>
        <v>46621</v>
      </c>
      <c r="AI22" s="37">
        <f t="shared" si="3"/>
        <v>90.6</v>
      </c>
    </row>
    <row r="23" spans="1:35" ht="19.5" hidden="1" customHeight="1">
      <c r="A23" s="610" t="s">
        <v>83</v>
      </c>
      <c r="B23" s="32">
        <v>142</v>
      </c>
      <c r="C23" s="32">
        <v>796</v>
      </c>
      <c r="D23" s="32">
        <v>39</v>
      </c>
      <c r="E23" s="32">
        <v>242</v>
      </c>
      <c r="F23" s="32">
        <v>0</v>
      </c>
      <c r="G23" s="32">
        <v>0</v>
      </c>
      <c r="H23" s="32">
        <v>0</v>
      </c>
      <c r="I23" s="32">
        <v>0</v>
      </c>
      <c r="J23" s="32">
        <v>6585</v>
      </c>
      <c r="K23" s="32">
        <v>12577</v>
      </c>
      <c r="L23" s="32">
        <v>5237</v>
      </c>
      <c r="M23" s="32">
        <v>11258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f t="shared" si="4"/>
        <v>6727</v>
      </c>
      <c r="AE23" s="32">
        <f t="shared" si="0"/>
        <v>13373</v>
      </c>
      <c r="AF23" s="32">
        <f t="shared" si="0"/>
        <v>5276</v>
      </c>
      <c r="AG23" s="37">
        <f t="shared" si="1"/>
        <v>-21.6</v>
      </c>
      <c r="AH23" s="32">
        <f t="shared" si="2"/>
        <v>11500</v>
      </c>
      <c r="AI23" s="37">
        <f t="shared" si="3"/>
        <v>-14</v>
      </c>
    </row>
    <row r="24" spans="1:35" ht="19.5" hidden="1" customHeight="1">
      <c r="A24" s="610" t="s">
        <v>58</v>
      </c>
      <c r="B24" s="32">
        <v>917</v>
      </c>
      <c r="C24" s="32">
        <v>4281</v>
      </c>
      <c r="D24" s="32">
        <v>1203</v>
      </c>
      <c r="E24" s="32">
        <v>8588</v>
      </c>
      <c r="F24" s="32">
        <v>0</v>
      </c>
      <c r="G24" s="32">
        <v>78</v>
      </c>
      <c r="H24" s="32">
        <v>1</v>
      </c>
      <c r="I24" s="32">
        <v>39</v>
      </c>
      <c r="J24" s="32">
        <v>4045</v>
      </c>
      <c r="K24" s="32">
        <v>4949</v>
      </c>
      <c r="L24" s="32">
        <v>2662</v>
      </c>
      <c r="M24" s="32">
        <v>3842</v>
      </c>
      <c r="N24" s="32">
        <v>0</v>
      </c>
      <c r="O24" s="32">
        <v>1</v>
      </c>
      <c r="P24" s="32">
        <v>1029</v>
      </c>
      <c r="Q24" s="32">
        <v>2188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37</v>
      </c>
      <c r="AB24" s="32">
        <v>24</v>
      </c>
      <c r="AC24" s="32">
        <v>57</v>
      </c>
      <c r="AD24" s="32">
        <f t="shared" si="4"/>
        <v>4962</v>
      </c>
      <c r="AE24" s="32">
        <f t="shared" si="0"/>
        <v>9346</v>
      </c>
      <c r="AF24" s="32">
        <f t="shared" si="0"/>
        <v>4919</v>
      </c>
      <c r="AG24" s="37">
        <f t="shared" si="1"/>
        <v>-0.9</v>
      </c>
      <c r="AH24" s="32">
        <f t="shared" si="2"/>
        <v>14714</v>
      </c>
      <c r="AI24" s="37">
        <f t="shared" si="3"/>
        <v>57.4</v>
      </c>
    </row>
    <row r="25" spans="1:35" ht="19.5" hidden="1" customHeight="1">
      <c r="A25" s="610" t="s">
        <v>84</v>
      </c>
      <c r="B25" s="32">
        <v>77</v>
      </c>
      <c r="C25" s="32">
        <v>424</v>
      </c>
      <c r="D25" s="32">
        <v>236</v>
      </c>
      <c r="E25" s="32">
        <v>1585</v>
      </c>
      <c r="F25" s="32">
        <v>0</v>
      </c>
      <c r="G25" s="32">
        <v>0</v>
      </c>
      <c r="H25" s="32">
        <v>0</v>
      </c>
      <c r="I25" s="32">
        <v>0</v>
      </c>
      <c r="J25" s="32">
        <v>5899</v>
      </c>
      <c r="K25" s="32">
        <v>11334</v>
      </c>
      <c r="L25" s="32">
        <v>6700</v>
      </c>
      <c r="M25" s="32">
        <v>13577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f t="shared" si="4"/>
        <v>5976</v>
      </c>
      <c r="AE25" s="32">
        <f t="shared" si="0"/>
        <v>11758</v>
      </c>
      <c r="AF25" s="32">
        <f t="shared" si="0"/>
        <v>6936</v>
      </c>
      <c r="AG25" s="37">
        <f t="shared" si="1"/>
        <v>16.100000000000001</v>
      </c>
      <c r="AH25" s="32">
        <f t="shared" si="2"/>
        <v>15162</v>
      </c>
      <c r="AI25" s="37">
        <f t="shared" si="3"/>
        <v>29</v>
      </c>
    </row>
    <row r="26" spans="1:35" ht="19.5" hidden="1" customHeight="1">
      <c r="A26" s="610" t="s">
        <v>65</v>
      </c>
      <c r="B26" s="32">
        <v>529</v>
      </c>
      <c r="C26" s="32">
        <v>2688</v>
      </c>
      <c r="D26" s="32">
        <v>854</v>
      </c>
      <c r="E26" s="32">
        <v>4613</v>
      </c>
      <c r="F26" s="32">
        <v>464</v>
      </c>
      <c r="G26" s="32">
        <v>7349</v>
      </c>
      <c r="H26" s="32">
        <v>422</v>
      </c>
      <c r="I26" s="32">
        <v>6049</v>
      </c>
      <c r="J26" s="32">
        <v>844</v>
      </c>
      <c r="K26" s="32">
        <v>1112</v>
      </c>
      <c r="L26" s="32">
        <v>4246</v>
      </c>
      <c r="M26" s="32">
        <v>5352</v>
      </c>
      <c r="N26" s="32">
        <v>0</v>
      </c>
      <c r="O26" s="32">
        <v>0</v>
      </c>
      <c r="P26" s="32">
        <v>95</v>
      </c>
      <c r="Q26" s="32">
        <v>186</v>
      </c>
      <c r="R26" s="32">
        <v>0</v>
      </c>
      <c r="S26" s="32">
        <v>0</v>
      </c>
      <c r="T26" s="32">
        <v>899</v>
      </c>
      <c r="U26" s="32">
        <v>2561</v>
      </c>
      <c r="V26" s="32">
        <v>0</v>
      </c>
      <c r="W26" s="32">
        <v>0</v>
      </c>
      <c r="X26" s="32">
        <v>0</v>
      </c>
      <c r="Y26" s="32">
        <v>10</v>
      </c>
      <c r="Z26" s="32">
        <v>10</v>
      </c>
      <c r="AA26" s="32">
        <v>422</v>
      </c>
      <c r="AB26" s="32">
        <v>12</v>
      </c>
      <c r="AC26" s="32">
        <v>480</v>
      </c>
      <c r="AD26" s="32">
        <f t="shared" si="4"/>
        <v>1847</v>
      </c>
      <c r="AE26" s="32">
        <f t="shared" si="0"/>
        <v>11571</v>
      </c>
      <c r="AF26" s="32">
        <f t="shared" si="0"/>
        <v>6528</v>
      </c>
      <c r="AG26" s="37">
        <f t="shared" si="1"/>
        <v>253.4</v>
      </c>
      <c r="AH26" s="32">
        <f t="shared" si="2"/>
        <v>19251</v>
      </c>
      <c r="AI26" s="37">
        <f t="shared" si="3"/>
        <v>66.400000000000006</v>
      </c>
    </row>
    <row r="27" spans="1:35" ht="19.5" hidden="1" customHeight="1">
      <c r="A27" s="610" t="s">
        <v>52</v>
      </c>
      <c r="B27" s="32">
        <v>3271</v>
      </c>
      <c r="C27" s="32">
        <v>19579</v>
      </c>
      <c r="D27" s="32">
        <v>5535</v>
      </c>
      <c r="E27" s="32">
        <v>42064</v>
      </c>
      <c r="F27" s="32">
        <v>0</v>
      </c>
      <c r="G27" s="32">
        <v>0</v>
      </c>
      <c r="H27" s="32">
        <v>122</v>
      </c>
      <c r="I27" s="32">
        <v>204</v>
      </c>
      <c r="J27" s="32">
        <v>1465</v>
      </c>
      <c r="K27" s="32">
        <v>1748</v>
      </c>
      <c r="L27" s="32">
        <v>1579</v>
      </c>
      <c r="M27" s="32">
        <v>2295</v>
      </c>
      <c r="N27" s="32">
        <v>169</v>
      </c>
      <c r="O27" s="32">
        <v>341</v>
      </c>
      <c r="P27" s="32">
        <v>110</v>
      </c>
      <c r="Q27" s="32">
        <v>214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2</v>
      </c>
      <c r="X27" s="32">
        <v>0</v>
      </c>
      <c r="Y27" s="32">
        <v>3</v>
      </c>
      <c r="Z27" s="32">
        <v>0</v>
      </c>
      <c r="AA27" s="32">
        <v>0</v>
      </c>
      <c r="AB27" s="32">
        <v>0</v>
      </c>
      <c r="AC27" s="32">
        <v>0</v>
      </c>
      <c r="AD27" s="32">
        <f t="shared" si="4"/>
        <v>4905</v>
      </c>
      <c r="AE27" s="32">
        <f t="shared" si="0"/>
        <v>21670</v>
      </c>
      <c r="AF27" s="32">
        <f t="shared" si="0"/>
        <v>7346</v>
      </c>
      <c r="AG27" s="37">
        <f t="shared" si="1"/>
        <v>49.8</v>
      </c>
      <c r="AH27" s="32">
        <f t="shared" si="2"/>
        <v>44780</v>
      </c>
      <c r="AI27" s="37">
        <f t="shared" si="3"/>
        <v>106.6</v>
      </c>
    </row>
    <row r="28" spans="1:35" ht="19.5" hidden="1" customHeight="1">
      <c r="A28" s="610" t="s">
        <v>64</v>
      </c>
      <c r="B28" s="32">
        <v>334</v>
      </c>
      <c r="C28" s="32">
        <v>2351</v>
      </c>
      <c r="D28" s="32">
        <v>314</v>
      </c>
      <c r="E28" s="32">
        <v>2194</v>
      </c>
      <c r="F28" s="32">
        <v>47</v>
      </c>
      <c r="G28" s="32">
        <v>1275</v>
      </c>
      <c r="H28" s="32">
        <v>45</v>
      </c>
      <c r="I28" s="32">
        <v>1032</v>
      </c>
      <c r="J28" s="32">
        <v>3361</v>
      </c>
      <c r="K28" s="32">
        <v>5401</v>
      </c>
      <c r="L28" s="32">
        <v>2347</v>
      </c>
      <c r="M28" s="32">
        <v>4237</v>
      </c>
      <c r="N28" s="32">
        <v>3</v>
      </c>
      <c r="O28" s="32">
        <v>21</v>
      </c>
      <c r="P28" s="32">
        <v>0</v>
      </c>
      <c r="Q28" s="32">
        <v>0</v>
      </c>
      <c r="R28" s="32">
        <v>0</v>
      </c>
      <c r="S28" s="32">
        <v>10</v>
      </c>
      <c r="T28" s="32">
        <v>0</v>
      </c>
      <c r="U28" s="32">
        <v>0</v>
      </c>
      <c r="V28" s="32">
        <v>2</v>
      </c>
      <c r="W28" s="32">
        <v>40</v>
      </c>
      <c r="X28" s="32">
        <v>0</v>
      </c>
      <c r="Y28" s="32">
        <v>1</v>
      </c>
      <c r="Z28" s="32">
        <v>132</v>
      </c>
      <c r="AA28" s="32">
        <v>1477</v>
      </c>
      <c r="AB28" s="32">
        <v>133</v>
      </c>
      <c r="AC28" s="32">
        <v>1097</v>
      </c>
      <c r="AD28" s="32">
        <f t="shared" si="4"/>
        <v>3879</v>
      </c>
      <c r="AE28" s="32">
        <f t="shared" si="0"/>
        <v>10575</v>
      </c>
      <c r="AF28" s="32">
        <f t="shared" si="0"/>
        <v>2839</v>
      </c>
      <c r="AG28" s="37">
        <f t="shared" si="1"/>
        <v>-26.8</v>
      </c>
      <c r="AH28" s="32">
        <f t="shared" si="2"/>
        <v>8561</v>
      </c>
      <c r="AI28" s="37">
        <f t="shared" si="3"/>
        <v>-19</v>
      </c>
    </row>
    <row r="29" spans="1:35" ht="19.5" hidden="1" customHeight="1">
      <c r="A29" s="610" t="s">
        <v>51</v>
      </c>
      <c r="B29" s="32">
        <v>1129</v>
      </c>
      <c r="C29" s="32">
        <v>6091</v>
      </c>
      <c r="D29" s="32">
        <v>824</v>
      </c>
      <c r="E29" s="32">
        <v>5631</v>
      </c>
      <c r="F29" s="32">
        <v>0</v>
      </c>
      <c r="G29" s="32">
        <v>0</v>
      </c>
      <c r="H29" s="32">
        <v>1200</v>
      </c>
      <c r="I29" s="32">
        <v>13735</v>
      </c>
      <c r="J29" s="32">
        <v>1088</v>
      </c>
      <c r="K29" s="32">
        <v>1725</v>
      </c>
      <c r="L29" s="32">
        <v>355</v>
      </c>
      <c r="M29" s="32">
        <v>604</v>
      </c>
      <c r="N29" s="32">
        <v>20</v>
      </c>
      <c r="O29" s="32">
        <v>181</v>
      </c>
      <c r="P29" s="32">
        <v>20</v>
      </c>
      <c r="Q29" s="32">
        <v>206</v>
      </c>
      <c r="R29" s="32">
        <v>0</v>
      </c>
      <c r="S29" s="32">
        <v>0</v>
      </c>
      <c r="T29" s="32">
        <v>0</v>
      </c>
      <c r="U29" s="32">
        <v>0</v>
      </c>
      <c r="V29" s="32">
        <v>845</v>
      </c>
      <c r="W29" s="32">
        <v>14450</v>
      </c>
      <c r="X29" s="32">
        <v>555</v>
      </c>
      <c r="Y29" s="32">
        <v>10810</v>
      </c>
      <c r="Z29" s="32">
        <v>0</v>
      </c>
      <c r="AA29" s="32">
        <v>0</v>
      </c>
      <c r="AB29" s="32">
        <v>23</v>
      </c>
      <c r="AC29" s="32">
        <v>37</v>
      </c>
      <c r="AD29" s="32">
        <f t="shared" si="4"/>
        <v>3082</v>
      </c>
      <c r="AE29" s="32">
        <f t="shared" si="0"/>
        <v>22447</v>
      </c>
      <c r="AF29" s="32">
        <f t="shared" si="0"/>
        <v>2977</v>
      </c>
      <c r="AG29" s="37">
        <f t="shared" si="1"/>
        <v>-3.4</v>
      </c>
      <c r="AH29" s="32">
        <f t="shared" si="2"/>
        <v>31023</v>
      </c>
      <c r="AI29" s="37">
        <f t="shared" si="3"/>
        <v>38.200000000000003</v>
      </c>
    </row>
    <row r="30" spans="1:35" ht="19.5" hidden="1" customHeight="1">
      <c r="A30" s="610" t="s">
        <v>61</v>
      </c>
      <c r="B30" s="32">
        <v>744</v>
      </c>
      <c r="C30" s="32">
        <v>5675</v>
      </c>
      <c r="D30" s="32">
        <v>515</v>
      </c>
      <c r="E30" s="32">
        <v>4427</v>
      </c>
      <c r="F30" s="32">
        <v>72</v>
      </c>
      <c r="G30" s="32">
        <v>2451</v>
      </c>
      <c r="H30" s="32">
        <v>59</v>
      </c>
      <c r="I30" s="32">
        <v>1828</v>
      </c>
      <c r="J30" s="32">
        <v>1743</v>
      </c>
      <c r="K30" s="32">
        <v>9753</v>
      </c>
      <c r="L30" s="32">
        <v>2064</v>
      </c>
      <c r="M30" s="32">
        <v>9203</v>
      </c>
      <c r="N30" s="32">
        <v>19</v>
      </c>
      <c r="O30" s="32">
        <v>121</v>
      </c>
      <c r="P30" s="32">
        <v>62</v>
      </c>
      <c r="Q30" s="32">
        <v>166</v>
      </c>
      <c r="R30" s="32">
        <v>49</v>
      </c>
      <c r="S30" s="32">
        <v>281</v>
      </c>
      <c r="T30" s="32">
        <v>36</v>
      </c>
      <c r="U30" s="32">
        <v>130</v>
      </c>
      <c r="V30" s="32">
        <v>3</v>
      </c>
      <c r="W30" s="32">
        <v>56</v>
      </c>
      <c r="X30" s="32">
        <v>2</v>
      </c>
      <c r="Y30" s="32">
        <v>51</v>
      </c>
      <c r="Z30" s="32">
        <v>81</v>
      </c>
      <c r="AA30" s="32">
        <v>1806</v>
      </c>
      <c r="AB30" s="32">
        <v>20</v>
      </c>
      <c r="AC30" s="32">
        <v>1450</v>
      </c>
      <c r="AD30" s="32">
        <f t="shared" si="4"/>
        <v>2711</v>
      </c>
      <c r="AE30" s="32">
        <f t="shared" si="0"/>
        <v>20143</v>
      </c>
      <c r="AF30" s="32">
        <f t="shared" si="0"/>
        <v>2758</v>
      </c>
      <c r="AG30" s="37">
        <f t="shared" si="1"/>
        <v>1.7</v>
      </c>
      <c r="AH30" s="32">
        <f t="shared" si="2"/>
        <v>17255</v>
      </c>
      <c r="AI30" s="37">
        <f t="shared" si="3"/>
        <v>-14.3</v>
      </c>
    </row>
    <row r="31" spans="1:35" ht="19.5" hidden="1" customHeight="1">
      <c r="A31" s="610" t="s">
        <v>53</v>
      </c>
      <c r="B31" s="32">
        <v>910</v>
      </c>
      <c r="C31" s="32">
        <v>3352</v>
      </c>
      <c r="D31" s="32">
        <v>1298</v>
      </c>
      <c r="E31" s="32">
        <v>4975</v>
      </c>
      <c r="F31" s="32">
        <v>0</v>
      </c>
      <c r="G31" s="32">
        <v>0</v>
      </c>
      <c r="H31" s="32">
        <v>0</v>
      </c>
      <c r="I31" s="32">
        <v>0</v>
      </c>
      <c r="J31" s="32">
        <v>1049</v>
      </c>
      <c r="K31" s="32">
        <v>1409</v>
      </c>
      <c r="L31" s="32">
        <v>670</v>
      </c>
      <c r="M31" s="32">
        <v>1338</v>
      </c>
      <c r="N31" s="32">
        <v>0</v>
      </c>
      <c r="O31" s="32">
        <v>0</v>
      </c>
      <c r="P31" s="32">
        <v>47</v>
      </c>
      <c r="Q31" s="32">
        <v>89</v>
      </c>
      <c r="R31" s="32">
        <v>0</v>
      </c>
      <c r="S31" s="32">
        <v>57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7</v>
      </c>
      <c r="AA31" s="32">
        <v>61</v>
      </c>
      <c r="AB31" s="32">
        <v>0</v>
      </c>
      <c r="AC31" s="32">
        <v>60</v>
      </c>
      <c r="AD31" s="32">
        <f t="shared" si="4"/>
        <v>1966</v>
      </c>
      <c r="AE31" s="32">
        <f t="shared" si="0"/>
        <v>4879</v>
      </c>
      <c r="AF31" s="32">
        <f t="shared" si="0"/>
        <v>2015</v>
      </c>
      <c r="AG31" s="37">
        <f t="shared" si="1"/>
        <v>2.5</v>
      </c>
      <c r="AH31" s="32">
        <f t="shared" si="2"/>
        <v>6462</v>
      </c>
      <c r="AI31" s="37">
        <f t="shared" si="3"/>
        <v>32.4</v>
      </c>
    </row>
    <row r="32" spans="1:35" ht="19.5" hidden="1" customHeight="1">
      <c r="A32" s="610" t="s">
        <v>85</v>
      </c>
      <c r="B32" s="32">
        <v>816</v>
      </c>
      <c r="C32" s="32">
        <v>4290</v>
      </c>
      <c r="D32" s="32">
        <v>460</v>
      </c>
      <c r="E32" s="32">
        <v>2732</v>
      </c>
      <c r="F32" s="32">
        <v>0</v>
      </c>
      <c r="G32" s="32">
        <v>0</v>
      </c>
      <c r="H32" s="32">
        <v>0</v>
      </c>
      <c r="I32" s="32">
        <v>0</v>
      </c>
      <c r="J32" s="32">
        <v>1135</v>
      </c>
      <c r="K32" s="32">
        <v>1549</v>
      </c>
      <c r="L32" s="32">
        <v>1932</v>
      </c>
      <c r="M32" s="32">
        <v>3015</v>
      </c>
      <c r="N32" s="32">
        <v>0</v>
      </c>
      <c r="O32" s="32">
        <v>1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1</v>
      </c>
      <c r="AD32" s="32">
        <f t="shared" si="4"/>
        <v>1951</v>
      </c>
      <c r="AE32" s="32">
        <f t="shared" si="0"/>
        <v>5840</v>
      </c>
      <c r="AF32" s="32">
        <f t="shared" si="0"/>
        <v>2392</v>
      </c>
      <c r="AG32" s="37">
        <f t="shared" si="1"/>
        <v>22.6</v>
      </c>
      <c r="AH32" s="32">
        <f t="shared" si="2"/>
        <v>5748</v>
      </c>
      <c r="AI32" s="37">
        <f t="shared" si="3"/>
        <v>-1.6</v>
      </c>
    </row>
    <row r="33" spans="1:35" ht="19.5" hidden="1" customHeight="1">
      <c r="A33" s="610" t="s">
        <v>81</v>
      </c>
      <c r="B33" s="32">
        <v>704</v>
      </c>
      <c r="C33" s="32">
        <v>3653</v>
      </c>
      <c r="D33" s="32">
        <v>21</v>
      </c>
      <c r="E33" s="32">
        <v>130</v>
      </c>
      <c r="F33" s="32">
        <v>0</v>
      </c>
      <c r="G33" s="32">
        <v>0</v>
      </c>
      <c r="H33" s="32">
        <v>0</v>
      </c>
      <c r="I33" s="32">
        <v>0</v>
      </c>
      <c r="J33" s="32">
        <v>223</v>
      </c>
      <c r="K33" s="32">
        <v>328</v>
      </c>
      <c r="L33" s="32">
        <v>0</v>
      </c>
      <c r="M33" s="32">
        <v>0</v>
      </c>
      <c r="N33" s="32">
        <v>1006</v>
      </c>
      <c r="O33" s="32">
        <v>1972</v>
      </c>
      <c r="P33" s="32">
        <v>633</v>
      </c>
      <c r="Q33" s="32">
        <v>1242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f t="shared" si="4"/>
        <v>1933</v>
      </c>
      <c r="AE33" s="32">
        <f t="shared" si="0"/>
        <v>5953</v>
      </c>
      <c r="AF33" s="32">
        <f t="shared" si="0"/>
        <v>654</v>
      </c>
      <c r="AG33" s="37">
        <f t="shared" si="1"/>
        <v>-66.2</v>
      </c>
      <c r="AH33" s="32">
        <f t="shared" si="2"/>
        <v>1372</v>
      </c>
      <c r="AI33" s="37">
        <f t="shared" si="3"/>
        <v>-77</v>
      </c>
    </row>
    <row r="34" spans="1:35" ht="19.5" hidden="1" customHeight="1">
      <c r="A34" s="610" t="s">
        <v>82</v>
      </c>
      <c r="B34" s="32">
        <v>1251</v>
      </c>
      <c r="C34" s="32">
        <v>2248</v>
      </c>
      <c r="D34" s="32">
        <v>1499</v>
      </c>
      <c r="E34" s="32">
        <v>11489</v>
      </c>
      <c r="F34" s="32">
        <v>62</v>
      </c>
      <c r="G34" s="32">
        <v>1045</v>
      </c>
      <c r="H34" s="32">
        <v>16</v>
      </c>
      <c r="I34" s="32">
        <v>296</v>
      </c>
      <c r="J34" s="32">
        <v>1793</v>
      </c>
      <c r="K34" s="32">
        <v>3098</v>
      </c>
      <c r="L34" s="32">
        <v>1035</v>
      </c>
      <c r="M34" s="32">
        <v>1877</v>
      </c>
      <c r="N34" s="32">
        <v>0</v>
      </c>
      <c r="O34" s="32">
        <v>1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24</v>
      </c>
      <c r="AA34" s="32">
        <v>238</v>
      </c>
      <c r="AB34" s="32">
        <v>0</v>
      </c>
      <c r="AC34" s="32">
        <v>0</v>
      </c>
      <c r="AD34" s="32">
        <f t="shared" si="4"/>
        <v>3130</v>
      </c>
      <c r="AE34" s="32">
        <f t="shared" si="0"/>
        <v>6630</v>
      </c>
      <c r="AF34" s="32">
        <f t="shared" si="0"/>
        <v>2550</v>
      </c>
      <c r="AG34" s="37">
        <f t="shared" si="1"/>
        <v>-18.5</v>
      </c>
      <c r="AH34" s="32">
        <f t="shared" si="2"/>
        <v>13662</v>
      </c>
      <c r="AI34" s="37">
        <f t="shared" si="3"/>
        <v>106.1</v>
      </c>
    </row>
    <row r="35" spans="1:35" ht="19.5" hidden="1" customHeight="1">
      <c r="A35" s="610" t="s">
        <v>505</v>
      </c>
      <c r="B35" s="32">
        <v>1268</v>
      </c>
      <c r="C35" s="32">
        <v>6134</v>
      </c>
      <c r="D35" s="32">
        <v>719</v>
      </c>
      <c r="E35" s="32">
        <v>4226</v>
      </c>
      <c r="F35" s="32">
        <v>0</v>
      </c>
      <c r="G35" s="32">
        <v>0</v>
      </c>
      <c r="H35" s="32">
        <v>0</v>
      </c>
      <c r="I35" s="32">
        <v>0</v>
      </c>
      <c r="J35" s="32">
        <v>408</v>
      </c>
      <c r="K35" s="32">
        <v>406</v>
      </c>
      <c r="L35" s="32">
        <v>185</v>
      </c>
      <c r="M35" s="32">
        <v>235</v>
      </c>
      <c r="N35" s="32">
        <v>0</v>
      </c>
      <c r="O35" s="32">
        <v>0</v>
      </c>
      <c r="P35" s="32">
        <v>0</v>
      </c>
      <c r="Q35" s="32">
        <v>0</v>
      </c>
      <c r="R35" s="32">
        <v>668</v>
      </c>
      <c r="S35" s="32">
        <v>1667</v>
      </c>
      <c r="T35" s="32">
        <v>250</v>
      </c>
      <c r="U35" s="32">
        <v>741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f t="shared" si="4"/>
        <v>2344</v>
      </c>
      <c r="AE35" s="32">
        <f t="shared" si="0"/>
        <v>8207</v>
      </c>
      <c r="AF35" s="32">
        <f t="shared" si="0"/>
        <v>1154</v>
      </c>
      <c r="AG35" s="37">
        <f t="shared" si="1"/>
        <v>-50.8</v>
      </c>
      <c r="AH35" s="32">
        <f t="shared" si="2"/>
        <v>5202</v>
      </c>
      <c r="AI35" s="37">
        <f t="shared" si="3"/>
        <v>-36.6</v>
      </c>
    </row>
    <row r="36" spans="1:35" ht="19.5" hidden="1" customHeight="1">
      <c r="A36" s="610" t="s">
        <v>506</v>
      </c>
      <c r="B36" s="32">
        <v>0</v>
      </c>
      <c r="C36" s="32">
        <v>0</v>
      </c>
      <c r="D36" s="32">
        <v>19</v>
      </c>
      <c r="E36" s="32">
        <v>131</v>
      </c>
      <c r="F36" s="32">
        <v>0</v>
      </c>
      <c r="G36" s="32">
        <v>0</v>
      </c>
      <c r="H36" s="32">
        <v>0</v>
      </c>
      <c r="I36" s="32">
        <v>0</v>
      </c>
      <c r="J36" s="32">
        <v>993</v>
      </c>
      <c r="K36" s="32">
        <v>1250</v>
      </c>
      <c r="L36" s="32">
        <v>1714</v>
      </c>
      <c r="M36" s="32">
        <v>2208</v>
      </c>
      <c r="N36" s="32">
        <v>96</v>
      </c>
      <c r="O36" s="32">
        <v>214</v>
      </c>
      <c r="P36" s="32">
        <v>0</v>
      </c>
      <c r="Q36" s="32">
        <v>0</v>
      </c>
      <c r="R36" s="32">
        <v>0</v>
      </c>
      <c r="S36" s="32">
        <v>0</v>
      </c>
      <c r="T36" s="32">
        <v>99</v>
      </c>
      <c r="U36" s="32">
        <v>275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137</v>
      </c>
      <c r="AC36" s="32">
        <v>837</v>
      </c>
      <c r="AD36" s="32">
        <f t="shared" si="4"/>
        <v>1089</v>
      </c>
      <c r="AE36" s="32">
        <f t="shared" si="0"/>
        <v>1464</v>
      </c>
      <c r="AF36" s="32">
        <f t="shared" si="0"/>
        <v>1969</v>
      </c>
      <c r="AG36" s="37">
        <f t="shared" si="1"/>
        <v>80.8</v>
      </c>
      <c r="AH36" s="32">
        <f t="shared" si="2"/>
        <v>3451</v>
      </c>
      <c r="AI36" s="37">
        <f t="shared" si="3"/>
        <v>135.69999999999999</v>
      </c>
    </row>
    <row r="37" spans="1:35" ht="19.5" hidden="1" customHeight="1">
      <c r="A37" s="610" t="s">
        <v>233</v>
      </c>
      <c r="B37" s="32">
        <v>0</v>
      </c>
      <c r="C37" s="32">
        <v>770</v>
      </c>
      <c r="D37" s="32">
        <v>491</v>
      </c>
      <c r="E37" s="32">
        <v>0</v>
      </c>
      <c r="F37" s="32">
        <v>16</v>
      </c>
      <c r="G37" s="32">
        <v>407</v>
      </c>
      <c r="H37" s="32">
        <v>131</v>
      </c>
      <c r="I37" s="32">
        <v>1218</v>
      </c>
      <c r="J37" s="32">
        <v>0</v>
      </c>
      <c r="K37" s="32">
        <v>1503</v>
      </c>
      <c r="L37" s="32">
        <v>0</v>
      </c>
      <c r="M37" s="32">
        <v>2018</v>
      </c>
      <c r="N37" s="32">
        <v>0</v>
      </c>
      <c r="O37" s="32">
        <v>0</v>
      </c>
      <c r="P37" s="32">
        <v>0</v>
      </c>
      <c r="Q37" s="32">
        <v>0</v>
      </c>
      <c r="R37" s="32">
        <v>88</v>
      </c>
      <c r="S37" s="32">
        <v>213</v>
      </c>
      <c r="T37" s="32">
        <v>0</v>
      </c>
      <c r="U37" s="32">
        <v>0</v>
      </c>
      <c r="V37" s="32">
        <v>150</v>
      </c>
      <c r="W37" s="32">
        <v>2601</v>
      </c>
      <c r="X37" s="32">
        <v>0</v>
      </c>
      <c r="Y37" s="32">
        <v>0</v>
      </c>
      <c r="Z37" s="32">
        <v>10</v>
      </c>
      <c r="AA37" s="32">
        <v>581</v>
      </c>
      <c r="AB37" s="32">
        <v>11</v>
      </c>
      <c r="AC37" s="32">
        <v>653</v>
      </c>
      <c r="AD37" s="32">
        <f t="shared" si="4"/>
        <v>264</v>
      </c>
      <c r="AE37" s="32">
        <f t="shared" si="0"/>
        <v>6075</v>
      </c>
      <c r="AF37" s="32">
        <f t="shared" si="0"/>
        <v>633</v>
      </c>
      <c r="AG37" s="37">
        <f t="shared" si="1"/>
        <v>139.80000000000001</v>
      </c>
      <c r="AH37" s="32">
        <f t="shared" si="2"/>
        <v>3889</v>
      </c>
      <c r="AI37" s="37">
        <f t="shared" si="3"/>
        <v>-36</v>
      </c>
    </row>
    <row r="38" spans="1:35" ht="19.5" hidden="1" customHeight="1">
      <c r="A38" s="30" t="s">
        <v>71</v>
      </c>
      <c r="B38" s="33">
        <f t="shared" ref="B38:M38" si="5">B39-SUM(B8:B37)</f>
        <v>10717</v>
      </c>
      <c r="C38" s="33">
        <f t="shared" si="5"/>
        <v>57738</v>
      </c>
      <c r="D38" s="33">
        <f t="shared" si="5"/>
        <v>7438</v>
      </c>
      <c r="E38" s="33">
        <f t="shared" si="5"/>
        <v>53094</v>
      </c>
      <c r="F38" s="33">
        <f t="shared" si="5"/>
        <v>2174</v>
      </c>
      <c r="G38" s="33">
        <f t="shared" si="5"/>
        <v>44905</v>
      </c>
      <c r="H38" s="33">
        <f t="shared" si="5"/>
        <v>2116</v>
      </c>
      <c r="I38" s="33">
        <f t="shared" si="5"/>
        <v>51529</v>
      </c>
      <c r="J38" s="33">
        <f t="shared" si="5"/>
        <v>12290</v>
      </c>
      <c r="K38" s="33">
        <f t="shared" si="5"/>
        <v>28274</v>
      </c>
      <c r="L38" s="33">
        <f t="shared" si="5"/>
        <v>12453</v>
      </c>
      <c r="M38" s="33">
        <f t="shared" si="5"/>
        <v>25275</v>
      </c>
      <c r="N38" s="33">
        <f>N39-SUM(N8:N37)</f>
        <v>2101</v>
      </c>
      <c r="O38" s="33">
        <f>O39-SUM(O8:O37)</f>
        <v>4000</v>
      </c>
      <c r="P38" s="33">
        <f>P39-SUM(P8:P37)</f>
        <v>2114</v>
      </c>
      <c r="Q38" s="33">
        <f>Q39-SUM(Q8:Q37)</f>
        <v>4122</v>
      </c>
      <c r="R38" s="33">
        <f t="shared" ref="R38:AC38" si="6">R39-SUM(R8:R37)</f>
        <v>161</v>
      </c>
      <c r="S38" s="33">
        <f t="shared" si="6"/>
        <v>770</v>
      </c>
      <c r="T38" s="33">
        <f t="shared" si="6"/>
        <v>93</v>
      </c>
      <c r="U38" s="33">
        <f t="shared" si="6"/>
        <v>457</v>
      </c>
      <c r="V38" s="33">
        <f t="shared" si="6"/>
        <v>5</v>
      </c>
      <c r="W38" s="33">
        <f t="shared" si="6"/>
        <v>133</v>
      </c>
      <c r="X38" s="33">
        <f t="shared" si="6"/>
        <v>1</v>
      </c>
      <c r="Y38" s="33">
        <f t="shared" si="6"/>
        <v>488</v>
      </c>
      <c r="Z38" s="33">
        <f t="shared" si="6"/>
        <v>822</v>
      </c>
      <c r="AA38" s="33">
        <f t="shared" si="6"/>
        <v>10491</v>
      </c>
      <c r="AB38" s="33">
        <f t="shared" si="6"/>
        <v>851</v>
      </c>
      <c r="AC38" s="33">
        <f t="shared" si="6"/>
        <v>8122</v>
      </c>
      <c r="AD38" s="33">
        <f t="shared" ref="AD38:AF38" si="7">AD39-SUM(AD8:AD37)</f>
        <v>28270</v>
      </c>
      <c r="AE38" s="33">
        <f t="shared" si="7"/>
        <v>146311</v>
      </c>
      <c r="AF38" s="33">
        <f t="shared" si="7"/>
        <v>25066</v>
      </c>
      <c r="AG38" s="38">
        <f t="shared" si="1"/>
        <v>-11.3</v>
      </c>
      <c r="AH38" s="33">
        <f>AH39-SUM(AH8:AH37)</f>
        <v>143087</v>
      </c>
      <c r="AI38" s="38">
        <f t="shared" si="3"/>
        <v>-2.2000000000000002</v>
      </c>
    </row>
    <row r="39" spans="1:35" ht="19.5" hidden="1" customHeight="1">
      <c r="A39" s="31" t="s">
        <v>72</v>
      </c>
      <c r="B39" s="35">
        <v>73215</v>
      </c>
      <c r="C39" s="36">
        <v>435137</v>
      </c>
      <c r="D39" s="36">
        <v>77753</v>
      </c>
      <c r="E39" s="36">
        <v>592003</v>
      </c>
      <c r="F39" s="36">
        <v>4901</v>
      </c>
      <c r="G39" s="36">
        <v>89093</v>
      </c>
      <c r="H39" s="36">
        <v>5478</v>
      </c>
      <c r="I39" s="36">
        <v>102140</v>
      </c>
      <c r="J39" s="36">
        <v>242620</v>
      </c>
      <c r="K39" s="36">
        <v>500161</v>
      </c>
      <c r="L39" s="36">
        <v>249442</v>
      </c>
      <c r="M39" s="36">
        <v>568343</v>
      </c>
      <c r="N39" s="36">
        <v>12509</v>
      </c>
      <c r="O39" s="36">
        <v>25810</v>
      </c>
      <c r="P39" s="36">
        <v>13741</v>
      </c>
      <c r="Q39" s="36">
        <v>28326</v>
      </c>
      <c r="R39" s="36">
        <v>4555</v>
      </c>
      <c r="S39" s="36">
        <v>12295</v>
      </c>
      <c r="T39" s="36">
        <v>3866</v>
      </c>
      <c r="U39" s="36">
        <v>11302</v>
      </c>
      <c r="V39" s="36">
        <v>1347</v>
      </c>
      <c r="W39" s="36">
        <v>24057</v>
      </c>
      <c r="X39" s="36">
        <v>987</v>
      </c>
      <c r="Y39" s="36">
        <v>20686</v>
      </c>
      <c r="Z39" s="36">
        <v>14260</v>
      </c>
      <c r="AA39" s="36">
        <v>85090</v>
      </c>
      <c r="AB39" s="36">
        <v>13512</v>
      </c>
      <c r="AC39" s="36">
        <v>77568</v>
      </c>
      <c r="AD39" s="36">
        <f>SUM(B39+F39+J39+N39+R39+V39+Z39)</f>
        <v>353407</v>
      </c>
      <c r="AE39" s="35">
        <f>SUM(C39+G39+K39+O39+S39+W39+AA39)</f>
        <v>1171643</v>
      </c>
      <c r="AF39" s="36">
        <f>SUM(D39+H39+L39+P39+T39+X39+AB39)</f>
        <v>364779</v>
      </c>
      <c r="AG39" s="38">
        <f t="shared" si="1"/>
        <v>3.2</v>
      </c>
      <c r="AH39" s="35">
        <f>SUM(E39+I39+M39+Q39+U39+Y39+AC39)</f>
        <v>1400368</v>
      </c>
      <c r="AI39" s="38">
        <f t="shared" si="3"/>
        <v>19.5</v>
      </c>
    </row>
    <row r="40" spans="1:35" hidden="1"/>
    <row r="41" spans="1:35" ht="22.5" hidden="1" customHeight="1">
      <c r="A41" s="736" t="s">
        <v>571</v>
      </c>
      <c r="B41" s="736"/>
      <c r="C41" s="736"/>
      <c r="D41" s="736"/>
      <c r="E41" s="736"/>
      <c r="F41" s="736"/>
      <c r="G41" s="736"/>
      <c r="H41" s="736"/>
      <c r="I41" s="736"/>
      <c r="J41" s="736"/>
      <c r="K41" s="736"/>
      <c r="L41" s="736"/>
      <c r="M41" s="736"/>
      <c r="N41" s="736"/>
      <c r="O41" s="736"/>
      <c r="P41" s="736"/>
      <c r="Q41" s="736"/>
      <c r="R41" s="736"/>
      <c r="S41" s="736"/>
      <c r="T41" s="736"/>
      <c r="U41" s="736"/>
      <c r="V41" s="736"/>
      <c r="W41" s="736"/>
      <c r="X41" s="736"/>
      <c r="Y41" s="736"/>
      <c r="Z41" s="736"/>
      <c r="AA41" s="736"/>
      <c r="AB41" s="736"/>
      <c r="AC41" s="736"/>
      <c r="AD41" s="736"/>
      <c r="AE41" s="736"/>
      <c r="AF41" s="736"/>
      <c r="AG41" s="736"/>
      <c r="AH41" s="736"/>
      <c r="AI41" s="736"/>
    </row>
    <row r="42" spans="1:35" ht="16.5" hidden="1" customHeight="1">
      <c r="A42" s="428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</row>
    <row r="43" spans="1:35" hidden="1">
      <c r="AI43" s="26" t="s">
        <v>0</v>
      </c>
    </row>
    <row r="44" spans="1:35" ht="21.75" hidden="1" customHeight="1">
      <c r="A44" s="758" t="s">
        <v>36</v>
      </c>
      <c r="B44" s="765" t="s">
        <v>463</v>
      </c>
      <c r="C44" s="766"/>
      <c r="D44" s="766"/>
      <c r="E44" s="767"/>
      <c r="F44" s="765" t="s">
        <v>464</v>
      </c>
      <c r="G44" s="766"/>
      <c r="H44" s="766"/>
      <c r="I44" s="767"/>
      <c r="J44" s="765" t="s">
        <v>465</v>
      </c>
      <c r="K44" s="766"/>
      <c r="L44" s="766"/>
      <c r="M44" s="767"/>
      <c r="N44" s="765" t="s">
        <v>466</v>
      </c>
      <c r="O44" s="766"/>
      <c r="P44" s="766"/>
      <c r="Q44" s="767"/>
      <c r="R44" s="765" t="s">
        <v>467</v>
      </c>
      <c r="S44" s="766"/>
      <c r="T44" s="766"/>
      <c r="U44" s="767"/>
      <c r="V44" s="765" t="s">
        <v>468</v>
      </c>
      <c r="W44" s="766"/>
      <c r="X44" s="766"/>
      <c r="Y44" s="767"/>
      <c r="Z44" s="765" t="s">
        <v>469</v>
      </c>
      <c r="AA44" s="766"/>
      <c r="AB44" s="766"/>
      <c r="AC44" s="767"/>
      <c r="AD44" s="765" t="s">
        <v>470</v>
      </c>
      <c r="AE44" s="766"/>
      <c r="AF44" s="766"/>
      <c r="AG44" s="766"/>
      <c r="AH44" s="766"/>
      <c r="AI44" s="767"/>
    </row>
    <row r="45" spans="1:35" ht="21" hidden="1" customHeight="1">
      <c r="A45" s="836"/>
      <c r="B45" s="765" t="s">
        <v>431</v>
      </c>
      <c r="C45" s="767"/>
      <c r="D45" s="765" t="s">
        <v>503</v>
      </c>
      <c r="E45" s="767"/>
      <c r="F45" s="765" t="s">
        <v>431</v>
      </c>
      <c r="G45" s="767"/>
      <c r="H45" s="765" t="s">
        <v>503</v>
      </c>
      <c r="I45" s="767"/>
      <c r="J45" s="765" t="s">
        <v>431</v>
      </c>
      <c r="K45" s="767"/>
      <c r="L45" s="765" t="s">
        <v>503</v>
      </c>
      <c r="M45" s="767"/>
      <c r="N45" s="765" t="s">
        <v>431</v>
      </c>
      <c r="O45" s="767"/>
      <c r="P45" s="765" t="s">
        <v>503</v>
      </c>
      <c r="Q45" s="767"/>
      <c r="R45" s="765" t="s">
        <v>431</v>
      </c>
      <c r="S45" s="767"/>
      <c r="T45" s="765" t="s">
        <v>503</v>
      </c>
      <c r="U45" s="767"/>
      <c r="V45" s="765" t="s">
        <v>431</v>
      </c>
      <c r="W45" s="767"/>
      <c r="X45" s="765" t="s">
        <v>503</v>
      </c>
      <c r="Y45" s="767"/>
      <c r="Z45" s="765" t="s">
        <v>431</v>
      </c>
      <c r="AA45" s="767"/>
      <c r="AB45" s="765" t="s">
        <v>503</v>
      </c>
      <c r="AC45" s="767"/>
      <c r="AD45" s="765" t="s">
        <v>431</v>
      </c>
      <c r="AE45" s="767"/>
      <c r="AF45" s="765" t="s">
        <v>503</v>
      </c>
      <c r="AG45" s="766"/>
      <c r="AH45" s="766"/>
      <c r="AI45" s="767"/>
    </row>
    <row r="46" spans="1:35" ht="16.5" hidden="1" customHeight="1">
      <c r="A46" s="836"/>
      <c r="B46" s="758" t="s">
        <v>37</v>
      </c>
      <c r="C46" s="758" t="s">
        <v>38</v>
      </c>
      <c r="D46" s="758" t="s">
        <v>39</v>
      </c>
      <c r="E46" s="758" t="s">
        <v>38</v>
      </c>
      <c r="F46" s="758" t="s">
        <v>40</v>
      </c>
      <c r="G46" s="758" t="s">
        <v>38</v>
      </c>
      <c r="H46" s="758" t="s">
        <v>39</v>
      </c>
      <c r="I46" s="758" t="s">
        <v>38</v>
      </c>
      <c r="J46" s="758" t="s">
        <v>37</v>
      </c>
      <c r="K46" s="758" t="s">
        <v>38</v>
      </c>
      <c r="L46" s="758" t="s">
        <v>39</v>
      </c>
      <c r="M46" s="758" t="s">
        <v>38</v>
      </c>
      <c r="N46" s="758" t="s">
        <v>37</v>
      </c>
      <c r="O46" s="758" t="s">
        <v>38</v>
      </c>
      <c r="P46" s="758" t="s">
        <v>39</v>
      </c>
      <c r="Q46" s="758" t="s">
        <v>38</v>
      </c>
      <c r="R46" s="758" t="s">
        <v>37</v>
      </c>
      <c r="S46" s="758" t="s">
        <v>38</v>
      </c>
      <c r="T46" s="758" t="s">
        <v>39</v>
      </c>
      <c r="U46" s="758" t="s">
        <v>38</v>
      </c>
      <c r="V46" s="758" t="s">
        <v>37</v>
      </c>
      <c r="W46" s="758" t="s">
        <v>38</v>
      </c>
      <c r="X46" s="758" t="s">
        <v>41</v>
      </c>
      <c r="Y46" s="758" t="s">
        <v>38</v>
      </c>
      <c r="Z46" s="758" t="s">
        <v>37</v>
      </c>
      <c r="AA46" s="758" t="s">
        <v>38</v>
      </c>
      <c r="AB46" s="758" t="s">
        <v>39</v>
      </c>
      <c r="AC46" s="758" t="s">
        <v>38</v>
      </c>
      <c r="AD46" s="758" t="s">
        <v>37</v>
      </c>
      <c r="AE46" s="758" t="s">
        <v>38</v>
      </c>
      <c r="AF46" s="772" t="s">
        <v>39</v>
      </c>
      <c r="AG46" s="27"/>
      <c r="AH46" s="772" t="s">
        <v>38</v>
      </c>
      <c r="AI46" s="27"/>
    </row>
    <row r="47" spans="1:35" ht="16.5" hidden="1" customHeight="1" thickBot="1">
      <c r="A47" s="835"/>
      <c r="B47" s="835"/>
      <c r="C47" s="835"/>
      <c r="D47" s="835"/>
      <c r="E47" s="835"/>
      <c r="F47" s="835"/>
      <c r="G47" s="835"/>
      <c r="H47" s="835"/>
      <c r="I47" s="835"/>
      <c r="J47" s="835"/>
      <c r="K47" s="835"/>
      <c r="L47" s="835"/>
      <c r="M47" s="835"/>
      <c r="N47" s="835"/>
      <c r="O47" s="835"/>
      <c r="P47" s="835"/>
      <c r="Q47" s="835"/>
      <c r="R47" s="835"/>
      <c r="S47" s="835"/>
      <c r="T47" s="835"/>
      <c r="U47" s="835"/>
      <c r="V47" s="835"/>
      <c r="W47" s="835"/>
      <c r="X47" s="835"/>
      <c r="Y47" s="835"/>
      <c r="Z47" s="835"/>
      <c r="AA47" s="835"/>
      <c r="AB47" s="835"/>
      <c r="AC47" s="835"/>
      <c r="AD47" s="835"/>
      <c r="AE47" s="835"/>
      <c r="AF47" s="834"/>
      <c r="AG47" s="28" t="s">
        <v>42</v>
      </c>
      <c r="AH47" s="834"/>
      <c r="AI47" s="28" t="s">
        <v>42</v>
      </c>
    </row>
    <row r="48" spans="1:35" ht="19.5" hidden="1" customHeight="1" thickTop="1">
      <c r="A48" s="610" t="s">
        <v>43</v>
      </c>
      <c r="B48" s="32">
        <v>10157</v>
      </c>
      <c r="C48" s="32">
        <v>66423</v>
      </c>
      <c r="D48" s="32">
        <v>11022</v>
      </c>
      <c r="E48" s="32">
        <v>88553</v>
      </c>
      <c r="F48" s="32">
        <v>0</v>
      </c>
      <c r="G48" s="32">
        <v>0</v>
      </c>
      <c r="H48" s="32">
        <v>0</v>
      </c>
      <c r="I48" s="32">
        <v>0</v>
      </c>
      <c r="J48" s="32">
        <v>48889</v>
      </c>
      <c r="K48" s="32">
        <v>156698</v>
      </c>
      <c r="L48" s="32">
        <v>58294</v>
      </c>
      <c r="M48" s="32">
        <v>200996</v>
      </c>
      <c r="N48" s="32">
        <v>7</v>
      </c>
      <c r="O48" s="32">
        <v>57</v>
      </c>
      <c r="P48" s="32">
        <v>13</v>
      </c>
      <c r="Q48" s="32">
        <v>87</v>
      </c>
      <c r="R48" s="32">
        <v>68</v>
      </c>
      <c r="S48" s="32">
        <v>847</v>
      </c>
      <c r="T48" s="32">
        <v>46</v>
      </c>
      <c r="U48" s="32">
        <v>546</v>
      </c>
      <c r="V48" s="32">
        <v>85</v>
      </c>
      <c r="W48" s="32">
        <v>1206</v>
      </c>
      <c r="X48" s="32">
        <v>447</v>
      </c>
      <c r="Y48" s="32">
        <v>9936</v>
      </c>
      <c r="Z48" s="32">
        <v>18045</v>
      </c>
      <c r="AA48" s="32">
        <v>59237</v>
      </c>
      <c r="AB48" s="32">
        <v>20065</v>
      </c>
      <c r="AC48" s="32">
        <v>75147</v>
      </c>
      <c r="AD48" s="32">
        <f>SUM(B48+F48+J48+N48+R48+V48+Z48)</f>
        <v>77251</v>
      </c>
      <c r="AE48" s="32">
        <f>SUM(C48+G48+K48+O48+S48+W48+AA48)</f>
        <v>284468</v>
      </c>
      <c r="AF48" s="32">
        <f>SUM(D48+H48+L48+P48+T48+X48+AB48)</f>
        <v>89887</v>
      </c>
      <c r="AG48" s="37">
        <f>ROUND(((AF48/AD48-1)*100),1)</f>
        <v>16.399999999999999</v>
      </c>
      <c r="AH48" s="32">
        <f>SUM(E48+I48+M48+Q48+U48+Y48+AC48)</f>
        <v>375265</v>
      </c>
      <c r="AI48" s="37">
        <f>ROUND(((AH48/AE48-1)*100),1)</f>
        <v>31.9</v>
      </c>
    </row>
    <row r="49" spans="1:35" ht="19.5" hidden="1" customHeight="1">
      <c r="A49" s="610" t="s">
        <v>45</v>
      </c>
      <c r="B49" s="32">
        <v>755</v>
      </c>
      <c r="C49" s="32">
        <v>2149</v>
      </c>
      <c r="D49" s="32">
        <v>900</v>
      </c>
      <c r="E49" s="32">
        <v>3686</v>
      </c>
      <c r="F49" s="32">
        <v>21</v>
      </c>
      <c r="G49" s="32">
        <v>401</v>
      </c>
      <c r="H49" s="32">
        <v>13</v>
      </c>
      <c r="I49" s="32">
        <v>338</v>
      </c>
      <c r="J49" s="32">
        <v>72496</v>
      </c>
      <c r="K49" s="32">
        <v>134315</v>
      </c>
      <c r="L49" s="32">
        <v>91689</v>
      </c>
      <c r="M49" s="32">
        <v>198454</v>
      </c>
      <c r="N49" s="32">
        <v>9138</v>
      </c>
      <c r="O49" s="32">
        <v>19377</v>
      </c>
      <c r="P49" s="32">
        <v>10319</v>
      </c>
      <c r="Q49" s="32">
        <v>20985</v>
      </c>
      <c r="R49" s="32">
        <v>6718</v>
      </c>
      <c r="S49" s="32">
        <v>16877</v>
      </c>
      <c r="T49" s="32">
        <v>3121</v>
      </c>
      <c r="U49" s="32">
        <v>8745</v>
      </c>
      <c r="V49" s="32">
        <v>39</v>
      </c>
      <c r="W49" s="32">
        <v>388</v>
      </c>
      <c r="X49" s="32">
        <v>37</v>
      </c>
      <c r="Y49" s="32">
        <v>414</v>
      </c>
      <c r="Z49" s="32">
        <v>13</v>
      </c>
      <c r="AA49" s="32">
        <v>240</v>
      </c>
      <c r="AB49" s="32">
        <v>67</v>
      </c>
      <c r="AC49" s="32">
        <v>248</v>
      </c>
      <c r="AD49" s="32">
        <f>SUM(B49+F49+J49+N49+R49+V49+Z49)</f>
        <v>89180</v>
      </c>
      <c r="AE49" s="32">
        <f t="shared" ref="AE49:AE77" si="8">SUM(C49+G49+K49+O49+S49+W49+AA49)</f>
        <v>173747</v>
      </c>
      <c r="AF49" s="32">
        <f t="shared" ref="AF49:AF77" si="9">SUM(D49+H49+L49+P49+T49+X49+AB49)</f>
        <v>106146</v>
      </c>
      <c r="AG49" s="37">
        <f t="shared" ref="AG49:AG79" si="10">ROUND(((AF49/AD49-1)*100),1)</f>
        <v>19</v>
      </c>
      <c r="AH49" s="32">
        <f t="shared" ref="AH49:AH77" si="11">SUM(E49+I49+M49+Q49+U49+Y49+AC49)</f>
        <v>232870</v>
      </c>
      <c r="AI49" s="37">
        <f t="shared" ref="AI49:AI79" si="12">ROUND(((AH49/AE49-1)*100),1)</f>
        <v>34</v>
      </c>
    </row>
    <row r="50" spans="1:35" ht="19.5" hidden="1" customHeight="1">
      <c r="A50" s="610" t="s">
        <v>54</v>
      </c>
      <c r="B50" s="32">
        <v>2771</v>
      </c>
      <c r="C50" s="32">
        <v>16011</v>
      </c>
      <c r="D50" s="32">
        <v>1650</v>
      </c>
      <c r="E50" s="32">
        <v>11977</v>
      </c>
      <c r="F50" s="32">
        <v>2613</v>
      </c>
      <c r="G50" s="32">
        <v>35963</v>
      </c>
      <c r="H50" s="32">
        <v>3230</v>
      </c>
      <c r="I50" s="32">
        <v>54639</v>
      </c>
      <c r="J50" s="32">
        <v>63224</v>
      </c>
      <c r="K50" s="32">
        <v>113578</v>
      </c>
      <c r="L50" s="32">
        <v>64384</v>
      </c>
      <c r="M50" s="32">
        <v>131956</v>
      </c>
      <c r="N50" s="32">
        <v>2654</v>
      </c>
      <c r="O50" s="32">
        <v>4957</v>
      </c>
      <c r="P50" s="32">
        <v>816</v>
      </c>
      <c r="Q50" s="32">
        <v>1792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362</v>
      </c>
      <c r="AA50" s="32">
        <v>1149</v>
      </c>
      <c r="AB50" s="32">
        <v>607</v>
      </c>
      <c r="AC50" s="32">
        <v>555</v>
      </c>
      <c r="AD50" s="32">
        <f t="shared" ref="AD50:AD77" si="13">SUM(B50+F50+J50+N50+R50+V50+Z50)</f>
        <v>71624</v>
      </c>
      <c r="AE50" s="32">
        <f t="shared" si="8"/>
        <v>171658</v>
      </c>
      <c r="AF50" s="32">
        <f t="shared" si="9"/>
        <v>70687</v>
      </c>
      <c r="AG50" s="37">
        <f t="shared" si="10"/>
        <v>-1.3</v>
      </c>
      <c r="AH50" s="32">
        <f t="shared" si="11"/>
        <v>200919</v>
      </c>
      <c r="AI50" s="37">
        <f t="shared" si="12"/>
        <v>17</v>
      </c>
    </row>
    <row r="51" spans="1:35" ht="19.5" hidden="1" customHeight="1">
      <c r="A51" s="610" t="s">
        <v>46</v>
      </c>
      <c r="B51" s="32">
        <v>18025</v>
      </c>
      <c r="C51" s="32">
        <v>99974</v>
      </c>
      <c r="D51" s="32">
        <v>10254</v>
      </c>
      <c r="E51" s="32">
        <v>72196</v>
      </c>
      <c r="F51" s="32">
        <v>651</v>
      </c>
      <c r="G51" s="32">
        <v>14553</v>
      </c>
      <c r="H51" s="32">
        <v>252</v>
      </c>
      <c r="I51" s="32">
        <v>11385</v>
      </c>
      <c r="J51" s="32">
        <v>50468</v>
      </c>
      <c r="K51" s="32">
        <v>92739</v>
      </c>
      <c r="L51" s="32">
        <v>38391</v>
      </c>
      <c r="M51" s="32">
        <v>82024</v>
      </c>
      <c r="N51" s="32">
        <v>109</v>
      </c>
      <c r="O51" s="32">
        <v>216</v>
      </c>
      <c r="P51" s="32">
        <v>198</v>
      </c>
      <c r="Q51" s="32">
        <v>411</v>
      </c>
      <c r="R51" s="32">
        <v>95</v>
      </c>
      <c r="S51" s="32">
        <v>174</v>
      </c>
      <c r="T51" s="32">
        <v>19</v>
      </c>
      <c r="U51" s="32">
        <v>60</v>
      </c>
      <c r="V51" s="32">
        <v>1</v>
      </c>
      <c r="W51" s="32">
        <v>97</v>
      </c>
      <c r="X51" s="32">
        <v>1</v>
      </c>
      <c r="Y51" s="32">
        <v>34</v>
      </c>
      <c r="Z51" s="32">
        <v>456</v>
      </c>
      <c r="AA51" s="32">
        <v>38445</v>
      </c>
      <c r="AB51" s="32">
        <v>223</v>
      </c>
      <c r="AC51" s="32">
        <v>26668</v>
      </c>
      <c r="AD51" s="32">
        <f t="shared" si="13"/>
        <v>69805</v>
      </c>
      <c r="AE51" s="32">
        <f t="shared" si="8"/>
        <v>246198</v>
      </c>
      <c r="AF51" s="32">
        <f t="shared" si="9"/>
        <v>49338</v>
      </c>
      <c r="AG51" s="37">
        <f t="shared" si="10"/>
        <v>-29.3</v>
      </c>
      <c r="AH51" s="32">
        <f t="shared" si="11"/>
        <v>192778</v>
      </c>
      <c r="AI51" s="37">
        <f t="shared" si="12"/>
        <v>-21.7</v>
      </c>
    </row>
    <row r="52" spans="1:35" ht="19.5" hidden="1" customHeight="1">
      <c r="A52" s="610" t="s">
        <v>47</v>
      </c>
      <c r="B52" s="32">
        <v>7023</v>
      </c>
      <c r="C52" s="32">
        <v>83730</v>
      </c>
      <c r="D52" s="32">
        <v>6042</v>
      </c>
      <c r="E52" s="32">
        <v>103004</v>
      </c>
      <c r="F52" s="32">
        <v>0</v>
      </c>
      <c r="G52" s="32">
        <v>0</v>
      </c>
      <c r="H52" s="32">
        <v>0</v>
      </c>
      <c r="I52" s="32">
        <v>0</v>
      </c>
      <c r="J52" s="32">
        <v>23171</v>
      </c>
      <c r="K52" s="32">
        <v>49586</v>
      </c>
      <c r="L52" s="32">
        <v>18891</v>
      </c>
      <c r="M52" s="32">
        <v>64863</v>
      </c>
      <c r="N52" s="32">
        <v>1095</v>
      </c>
      <c r="O52" s="32">
        <v>2153</v>
      </c>
      <c r="P52" s="32">
        <v>972</v>
      </c>
      <c r="Q52" s="32">
        <v>1964</v>
      </c>
      <c r="R52" s="32">
        <v>96</v>
      </c>
      <c r="S52" s="32">
        <v>185</v>
      </c>
      <c r="T52" s="32">
        <v>83</v>
      </c>
      <c r="U52" s="32">
        <v>212</v>
      </c>
      <c r="V52" s="32">
        <v>27</v>
      </c>
      <c r="W52" s="32">
        <v>2394</v>
      </c>
      <c r="X52" s="32">
        <v>44</v>
      </c>
      <c r="Y52" s="32">
        <v>2209</v>
      </c>
      <c r="Z52" s="32">
        <v>396</v>
      </c>
      <c r="AA52" s="32">
        <v>13707</v>
      </c>
      <c r="AB52" s="32">
        <v>745</v>
      </c>
      <c r="AC52" s="32">
        <v>21352</v>
      </c>
      <c r="AD52" s="32">
        <f t="shared" si="13"/>
        <v>31808</v>
      </c>
      <c r="AE52" s="32">
        <f t="shared" si="8"/>
        <v>151755</v>
      </c>
      <c r="AF52" s="32">
        <f t="shared" si="9"/>
        <v>26777</v>
      </c>
      <c r="AG52" s="37">
        <f t="shared" si="10"/>
        <v>-15.8</v>
      </c>
      <c r="AH52" s="32">
        <f t="shared" si="11"/>
        <v>193604</v>
      </c>
      <c r="AI52" s="37">
        <f t="shared" si="12"/>
        <v>27.6</v>
      </c>
    </row>
    <row r="53" spans="1:35" ht="19.5" hidden="1" customHeight="1">
      <c r="A53" s="610" t="s">
        <v>77</v>
      </c>
      <c r="B53" s="32">
        <v>24770</v>
      </c>
      <c r="C53" s="32">
        <v>144675</v>
      </c>
      <c r="D53" s="32">
        <v>47249</v>
      </c>
      <c r="E53" s="32">
        <v>360113</v>
      </c>
      <c r="F53" s="32">
        <v>0</v>
      </c>
      <c r="G53" s="32">
        <v>0</v>
      </c>
      <c r="H53" s="32">
        <v>0</v>
      </c>
      <c r="I53" s="32">
        <v>0</v>
      </c>
      <c r="J53" s="32">
        <v>460</v>
      </c>
      <c r="K53" s="32">
        <v>517</v>
      </c>
      <c r="L53" s="32">
        <v>186</v>
      </c>
      <c r="M53" s="32">
        <v>222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f t="shared" si="13"/>
        <v>25230</v>
      </c>
      <c r="AE53" s="32">
        <f t="shared" si="8"/>
        <v>145192</v>
      </c>
      <c r="AF53" s="32">
        <f t="shared" si="9"/>
        <v>47435</v>
      </c>
      <c r="AG53" s="37">
        <f t="shared" si="10"/>
        <v>88</v>
      </c>
      <c r="AH53" s="32">
        <f t="shared" si="11"/>
        <v>360335</v>
      </c>
      <c r="AI53" s="37">
        <f t="shared" si="12"/>
        <v>148.19999999999999</v>
      </c>
    </row>
    <row r="54" spans="1:35" ht="19.5" hidden="1" customHeight="1">
      <c r="A54" s="610" t="s">
        <v>49</v>
      </c>
      <c r="B54" s="32">
        <v>6163</v>
      </c>
      <c r="C54" s="32">
        <v>32685</v>
      </c>
      <c r="D54" s="32">
        <v>5965</v>
      </c>
      <c r="E54" s="32">
        <v>34905</v>
      </c>
      <c r="F54" s="32">
        <v>1</v>
      </c>
      <c r="G54" s="32">
        <v>17</v>
      </c>
      <c r="H54" s="32">
        <v>1</v>
      </c>
      <c r="I54" s="32">
        <v>22</v>
      </c>
      <c r="J54" s="32">
        <v>28818</v>
      </c>
      <c r="K54" s="32">
        <v>52795</v>
      </c>
      <c r="L54" s="32">
        <v>19149</v>
      </c>
      <c r="M54" s="32">
        <v>39514</v>
      </c>
      <c r="N54" s="32">
        <v>49</v>
      </c>
      <c r="O54" s="32">
        <v>88</v>
      </c>
      <c r="P54" s="32">
        <v>0</v>
      </c>
      <c r="Q54" s="32">
        <v>0</v>
      </c>
      <c r="R54" s="32">
        <v>70</v>
      </c>
      <c r="S54" s="32">
        <v>197</v>
      </c>
      <c r="T54" s="32">
        <v>73</v>
      </c>
      <c r="U54" s="32">
        <v>255</v>
      </c>
      <c r="V54" s="32">
        <v>225</v>
      </c>
      <c r="W54" s="32">
        <v>3860</v>
      </c>
      <c r="X54" s="32">
        <v>445</v>
      </c>
      <c r="Y54" s="32">
        <v>9024</v>
      </c>
      <c r="Z54" s="32">
        <v>86</v>
      </c>
      <c r="AA54" s="32">
        <v>242</v>
      </c>
      <c r="AB54" s="32">
        <v>4</v>
      </c>
      <c r="AC54" s="32">
        <v>16</v>
      </c>
      <c r="AD54" s="32">
        <f t="shared" si="13"/>
        <v>35412</v>
      </c>
      <c r="AE54" s="32">
        <f t="shared" si="8"/>
        <v>89884</v>
      </c>
      <c r="AF54" s="32">
        <f t="shared" si="9"/>
        <v>25637</v>
      </c>
      <c r="AG54" s="37">
        <f t="shared" si="10"/>
        <v>-27.6</v>
      </c>
      <c r="AH54" s="32">
        <f t="shared" si="11"/>
        <v>83736</v>
      </c>
      <c r="AI54" s="37">
        <f t="shared" si="12"/>
        <v>-6.8</v>
      </c>
    </row>
    <row r="55" spans="1:35" ht="19.5" hidden="1" customHeight="1">
      <c r="A55" s="610" t="s">
        <v>57</v>
      </c>
      <c r="B55" s="32">
        <v>1635</v>
      </c>
      <c r="C55" s="32">
        <v>8862</v>
      </c>
      <c r="D55" s="32">
        <v>2236</v>
      </c>
      <c r="E55" s="32">
        <v>15636</v>
      </c>
      <c r="F55" s="32">
        <v>0</v>
      </c>
      <c r="G55" s="32">
        <v>0</v>
      </c>
      <c r="H55" s="32">
        <v>0</v>
      </c>
      <c r="I55" s="32">
        <v>0</v>
      </c>
      <c r="J55" s="32">
        <v>19776</v>
      </c>
      <c r="K55" s="32">
        <v>34532</v>
      </c>
      <c r="L55" s="32">
        <v>25973</v>
      </c>
      <c r="M55" s="32">
        <v>50316</v>
      </c>
      <c r="N55" s="32">
        <v>2534</v>
      </c>
      <c r="O55" s="32">
        <v>5226</v>
      </c>
      <c r="P55" s="32">
        <v>923</v>
      </c>
      <c r="Q55" s="32">
        <v>1833</v>
      </c>
      <c r="R55" s="32">
        <v>0</v>
      </c>
      <c r="S55" s="32">
        <v>0</v>
      </c>
      <c r="T55" s="32">
        <v>1</v>
      </c>
      <c r="U55" s="32">
        <v>3</v>
      </c>
      <c r="V55" s="32">
        <v>0</v>
      </c>
      <c r="W55" s="32">
        <v>0</v>
      </c>
      <c r="X55" s="32">
        <v>0</v>
      </c>
      <c r="Y55" s="32">
        <v>0</v>
      </c>
      <c r="Z55" s="32">
        <v>32</v>
      </c>
      <c r="AA55" s="32">
        <v>138</v>
      </c>
      <c r="AB55" s="32">
        <v>46</v>
      </c>
      <c r="AC55" s="32">
        <v>152</v>
      </c>
      <c r="AD55" s="32">
        <f t="shared" si="13"/>
        <v>23977</v>
      </c>
      <c r="AE55" s="32">
        <f t="shared" si="8"/>
        <v>48758</v>
      </c>
      <c r="AF55" s="32">
        <f t="shared" si="9"/>
        <v>29179</v>
      </c>
      <c r="AG55" s="37">
        <f t="shared" si="10"/>
        <v>21.7</v>
      </c>
      <c r="AH55" s="32">
        <f t="shared" si="11"/>
        <v>67940</v>
      </c>
      <c r="AI55" s="37">
        <f t="shared" si="12"/>
        <v>39.299999999999997</v>
      </c>
    </row>
    <row r="56" spans="1:35" ht="19.5" hidden="1" customHeight="1">
      <c r="A56" s="610" t="s">
        <v>79</v>
      </c>
      <c r="B56" s="32">
        <v>0</v>
      </c>
      <c r="C56" s="32">
        <v>0</v>
      </c>
      <c r="D56" s="32">
        <v>5</v>
      </c>
      <c r="E56" s="32">
        <v>42</v>
      </c>
      <c r="F56" s="32">
        <v>18</v>
      </c>
      <c r="G56" s="32">
        <v>389</v>
      </c>
      <c r="H56" s="32">
        <v>5</v>
      </c>
      <c r="I56" s="32">
        <v>115</v>
      </c>
      <c r="J56" s="32">
        <v>16185</v>
      </c>
      <c r="K56" s="32">
        <v>31470</v>
      </c>
      <c r="L56" s="32">
        <v>20142</v>
      </c>
      <c r="M56" s="32">
        <v>44034</v>
      </c>
      <c r="N56" s="32">
        <v>349</v>
      </c>
      <c r="O56" s="32">
        <v>784</v>
      </c>
      <c r="P56" s="32">
        <v>682</v>
      </c>
      <c r="Q56" s="32">
        <v>1278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1</v>
      </c>
      <c r="Y56" s="32">
        <v>56</v>
      </c>
      <c r="Z56" s="32">
        <v>702</v>
      </c>
      <c r="AA56" s="32">
        <v>5288</v>
      </c>
      <c r="AB56" s="32">
        <v>590</v>
      </c>
      <c r="AC56" s="32">
        <v>4130</v>
      </c>
      <c r="AD56" s="32">
        <f t="shared" si="13"/>
        <v>17254</v>
      </c>
      <c r="AE56" s="32">
        <f t="shared" si="8"/>
        <v>37931</v>
      </c>
      <c r="AF56" s="32">
        <f t="shared" si="9"/>
        <v>21425</v>
      </c>
      <c r="AG56" s="37">
        <f t="shared" si="10"/>
        <v>24.2</v>
      </c>
      <c r="AH56" s="32">
        <f t="shared" si="11"/>
        <v>49655</v>
      </c>
      <c r="AI56" s="37">
        <f t="shared" si="12"/>
        <v>30.9</v>
      </c>
    </row>
    <row r="57" spans="1:35" ht="19.5" hidden="1" customHeight="1">
      <c r="A57" s="610" t="s">
        <v>48</v>
      </c>
      <c r="B57" s="32">
        <v>2295</v>
      </c>
      <c r="C57" s="32">
        <v>13073</v>
      </c>
      <c r="D57" s="32">
        <v>3028</v>
      </c>
      <c r="E57" s="32">
        <v>20585</v>
      </c>
      <c r="F57" s="32">
        <v>0</v>
      </c>
      <c r="G57" s="32">
        <v>0</v>
      </c>
      <c r="H57" s="32">
        <v>0</v>
      </c>
      <c r="I57" s="32">
        <v>0</v>
      </c>
      <c r="J57" s="32">
        <v>18299</v>
      </c>
      <c r="K57" s="32">
        <v>29325</v>
      </c>
      <c r="L57" s="32">
        <v>12344</v>
      </c>
      <c r="M57" s="32">
        <v>20890</v>
      </c>
      <c r="N57" s="32">
        <v>0</v>
      </c>
      <c r="O57" s="32">
        <v>0</v>
      </c>
      <c r="P57" s="32">
        <v>299</v>
      </c>
      <c r="Q57" s="32">
        <v>584</v>
      </c>
      <c r="R57" s="32">
        <v>0</v>
      </c>
      <c r="S57" s="32">
        <v>0</v>
      </c>
      <c r="T57" s="32">
        <v>0</v>
      </c>
      <c r="U57" s="32">
        <v>0</v>
      </c>
      <c r="V57" s="32">
        <v>288</v>
      </c>
      <c r="W57" s="32">
        <v>5714</v>
      </c>
      <c r="X57" s="32">
        <v>283</v>
      </c>
      <c r="Y57" s="32">
        <v>7365</v>
      </c>
      <c r="Z57" s="32">
        <v>0</v>
      </c>
      <c r="AA57" s="32">
        <v>3</v>
      </c>
      <c r="AB57" s="32">
        <v>13</v>
      </c>
      <c r="AC57" s="32">
        <v>36</v>
      </c>
      <c r="AD57" s="32">
        <f t="shared" si="13"/>
        <v>20882</v>
      </c>
      <c r="AE57" s="32">
        <f t="shared" si="8"/>
        <v>48115</v>
      </c>
      <c r="AF57" s="32">
        <f t="shared" si="9"/>
        <v>15967</v>
      </c>
      <c r="AG57" s="37">
        <f t="shared" si="10"/>
        <v>-23.5</v>
      </c>
      <c r="AH57" s="32">
        <f t="shared" si="11"/>
        <v>49460</v>
      </c>
      <c r="AI57" s="37">
        <f t="shared" si="12"/>
        <v>2.8</v>
      </c>
    </row>
    <row r="58" spans="1:35" ht="19.5" hidden="1" customHeight="1">
      <c r="A58" s="610" t="s">
        <v>56</v>
      </c>
      <c r="B58" s="32">
        <v>4558</v>
      </c>
      <c r="C58" s="32">
        <v>24318</v>
      </c>
      <c r="D58" s="32">
        <v>3601</v>
      </c>
      <c r="E58" s="32">
        <v>24946</v>
      </c>
      <c r="F58" s="32">
        <v>0</v>
      </c>
      <c r="G58" s="32">
        <v>0</v>
      </c>
      <c r="H58" s="32">
        <v>0</v>
      </c>
      <c r="I58" s="32">
        <v>0</v>
      </c>
      <c r="J58" s="32">
        <v>9131</v>
      </c>
      <c r="K58" s="32">
        <v>12660</v>
      </c>
      <c r="L58" s="32">
        <v>10847</v>
      </c>
      <c r="M58" s="32">
        <v>19528</v>
      </c>
      <c r="N58" s="32">
        <v>0</v>
      </c>
      <c r="O58" s="32">
        <v>0</v>
      </c>
      <c r="P58" s="32">
        <v>2692</v>
      </c>
      <c r="Q58" s="32">
        <v>5308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f t="shared" si="13"/>
        <v>13689</v>
      </c>
      <c r="AE58" s="32">
        <f t="shared" si="8"/>
        <v>36978</v>
      </c>
      <c r="AF58" s="32">
        <f t="shared" si="9"/>
        <v>17140</v>
      </c>
      <c r="AG58" s="37">
        <f t="shared" si="10"/>
        <v>25.2</v>
      </c>
      <c r="AH58" s="32">
        <f t="shared" si="11"/>
        <v>49782</v>
      </c>
      <c r="AI58" s="37">
        <f t="shared" si="12"/>
        <v>34.6</v>
      </c>
    </row>
    <row r="59" spans="1:35" ht="19.5" hidden="1" customHeight="1">
      <c r="A59" s="610" t="s">
        <v>44</v>
      </c>
      <c r="B59" s="32">
        <v>1431</v>
      </c>
      <c r="C59" s="32">
        <v>9569</v>
      </c>
      <c r="D59" s="32">
        <v>1962</v>
      </c>
      <c r="E59" s="32">
        <v>14731</v>
      </c>
      <c r="F59" s="32">
        <v>19</v>
      </c>
      <c r="G59" s="32">
        <v>29</v>
      </c>
      <c r="H59" s="32">
        <v>0</v>
      </c>
      <c r="I59" s="32">
        <v>19</v>
      </c>
      <c r="J59" s="32">
        <v>11618</v>
      </c>
      <c r="K59" s="32">
        <v>28109</v>
      </c>
      <c r="L59" s="32">
        <v>7919</v>
      </c>
      <c r="M59" s="32">
        <v>25681</v>
      </c>
      <c r="N59" s="32">
        <v>2</v>
      </c>
      <c r="O59" s="32">
        <v>1</v>
      </c>
      <c r="P59" s="32">
        <v>22</v>
      </c>
      <c r="Q59" s="32">
        <v>332</v>
      </c>
      <c r="R59" s="32">
        <v>571</v>
      </c>
      <c r="S59" s="32">
        <v>1146</v>
      </c>
      <c r="T59" s="32">
        <v>211</v>
      </c>
      <c r="U59" s="32">
        <v>484</v>
      </c>
      <c r="V59" s="32">
        <v>0</v>
      </c>
      <c r="W59" s="32">
        <v>0</v>
      </c>
      <c r="X59" s="32">
        <v>0</v>
      </c>
      <c r="Y59" s="32">
        <v>0</v>
      </c>
      <c r="Z59" s="32">
        <v>4</v>
      </c>
      <c r="AA59" s="32">
        <v>562</v>
      </c>
      <c r="AB59" s="32">
        <v>504</v>
      </c>
      <c r="AC59" s="32">
        <v>3722</v>
      </c>
      <c r="AD59" s="32">
        <f t="shared" si="13"/>
        <v>13645</v>
      </c>
      <c r="AE59" s="32">
        <f t="shared" si="8"/>
        <v>39416</v>
      </c>
      <c r="AF59" s="32">
        <f t="shared" si="9"/>
        <v>10618</v>
      </c>
      <c r="AG59" s="37">
        <f t="shared" si="10"/>
        <v>-22.2</v>
      </c>
      <c r="AH59" s="32">
        <f t="shared" si="11"/>
        <v>44969</v>
      </c>
      <c r="AI59" s="37">
        <f t="shared" si="12"/>
        <v>14.1</v>
      </c>
    </row>
    <row r="60" spans="1:35" ht="19.5" hidden="1" customHeight="1">
      <c r="A60" s="610" t="s">
        <v>80</v>
      </c>
      <c r="B60" s="32">
        <v>631</v>
      </c>
      <c r="C60" s="32">
        <v>3432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15541</v>
      </c>
      <c r="K60" s="32">
        <v>30409</v>
      </c>
      <c r="L60" s="32">
        <v>13553</v>
      </c>
      <c r="M60" s="32">
        <v>29043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f t="shared" si="13"/>
        <v>16172</v>
      </c>
      <c r="AE60" s="32">
        <f t="shared" si="8"/>
        <v>33841</v>
      </c>
      <c r="AF60" s="32">
        <f t="shared" si="9"/>
        <v>13553</v>
      </c>
      <c r="AG60" s="37">
        <f t="shared" si="10"/>
        <v>-16.2</v>
      </c>
      <c r="AH60" s="32">
        <f t="shared" si="11"/>
        <v>29043</v>
      </c>
      <c r="AI60" s="37">
        <f t="shared" si="12"/>
        <v>-14.2</v>
      </c>
    </row>
    <row r="61" spans="1:35" ht="19.5" hidden="1" customHeight="1">
      <c r="A61" s="610" t="s">
        <v>50</v>
      </c>
      <c r="B61" s="32">
        <v>4661</v>
      </c>
      <c r="C61" s="32">
        <v>36431</v>
      </c>
      <c r="D61" s="32">
        <v>5842</v>
      </c>
      <c r="E61" s="32">
        <v>47531</v>
      </c>
      <c r="F61" s="32">
        <v>1</v>
      </c>
      <c r="G61" s="32">
        <v>36</v>
      </c>
      <c r="H61" s="32">
        <v>2</v>
      </c>
      <c r="I61" s="32">
        <v>84</v>
      </c>
      <c r="J61" s="32">
        <v>5778</v>
      </c>
      <c r="K61" s="32">
        <v>11384</v>
      </c>
      <c r="L61" s="32">
        <v>8452</v>
      </c>
      <c r="M61" s="32">
        <v>16179</v>
      </c>
      <c r="N61" s="32">
        <v>0</v>
      </c>
      <c r="O61" s="32">
        <v>1</v>
      </c>
      <c r="P61" s="32">
        <v>250</v>
      </c>
      <c r="Q61" s="32">
        <v>491</v>
      </c>
      <c r="R61" s="32">
        <v>0</v>
      </c>
      <c r="S61" s="32">
        <v>3</v>
      </c>
      <c r="T61" s="32">
        <v>0</v>
      </c>
      <c r="U61" s="32">
        <v>3</v>
      </c>
      <c r="V61" s="32">
        <v>2</v>
      </c>
      <c r="W61" s="32">
        <v>66</v>
      </c>
      <c r="X61" s="32">
        <v>1</v>
      </c>
      <c r="Y61" s="32">
        <v>61</v>
      </c>
      <c r="Z61" s="32">
        <v>175</v>
      </c>
      <c r="AA61" s="32">
        <v>1811</v>
      </c>
      <c r="AB61" s="32">
        <v>525</v>
      </c>
      <c r="AC61" s="32">
        <v>1896</v>
      </c>
      <c r="AD61" s="32">
        <f t="shared" si="13"/>
        <v>10617</v>
      </c>
      <c r="AE61" s="32">
        <f t="shared" si="8"/>
        <v>49732</v>
      </c>
      <c r="AF61" s="32">
        <f t="shared" si="9"/>
        <v>15072</v>
      </c>
      <c r="AG61" s="37">
        <f t="shared" si="10"/>
        <v>42</v>
      </c>
      <c r="AH61" s="32">
        <f t="shared" si="11"/>
        <v>66245</v>
      </c>
      <c r="AI61" s="37">
        <f t="shared" si="12"/>
        <v>33.200000000000003</v>
      </c>
    </row>
    <row r="62" spans="1:35" ht="19.5" hidden="1" customHeight="1">
      <c r="A62" s="610" t="s">
        <v>570</v>
      </c>
      <c r="B62" s="32">
        <v>8658</v>
      </c>
      <c r="C62" s="32">
        <v>50956</v>
      </c>
      <c r="D62" s="32">
        <v>13505</v>
      </c>
      <c r="E62" s="32">
        <v>104457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295</v>
      </c>
      <c r="AA62" s="32">
        <v>1770</v>
      </c>
      <c r="AB62" s="32">
        <v>474</v>
      </c>
      <c r="AC62" s="32">
        <v>3252</v>
      </c>
      <c r="AD62" s="32">
        <f t="shared" si="13"/>
        <v>8953</v>
      </c>
      <c r="AE62" s="32">
        <f t="shared" si="8"/>
        <v>52726</v>
      </c>
      <c r="AF62" s="32">
        <f t="shared" si="9"/>
        <v>13979</v>
      </c>
      <c r="AG62" s="37">
        <f t="shared" si="10"/>
        <v>56.1</v>
      </c>
      <c r="AH62" s="32">
        <f t="shared" si="11"/>
        <v>107709</v>
      </c>
      <c r="AI62" s="37">
        <f t="shared" si="12"/>
        <v>104.3</v>
      </c>
    </row>
    <row r="63" spans="1:35" ht="19.5" hidden="1" customHeight="1">
      <c r="A63" s="610" t="s">
        <v>83</v>
      </c>
      <c r="B63" s="32">
        <v>225</v>
      </c>
      <c r="C63" s="32">
        <v>1260</v>
      </c>
      <c r="D63" s="32">
        <v>108</v>
      </c>
      <c r="E63" s="32">
        <v>756</v>
      </c>
      <c r="F63" s="32">
        <v>0</v>
      </c>
      <c r="G63" s="32">
        <v>0</v>
      </c>
      <c r="H63" s="32">
        <v>0</v>
      </c>
      <c r="I63" s="32">
        <v>0</v>
      </c>
      <c r="J63" s="32">
        <v>9206</v>
      </c>
      <c r="K63" s="32">
        <v>17594</v>
      </c>
      <c r="L63" s="32">
        <v>9158</v>
      </c>
      <c r="M63" s="32">
        <v>19703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f t="shared" si="13"/>
        <v>9431</v>
      </c>
      <c r="AE63" s="32">
        <f t="shared" si="8"/>
        <v>18854</v>
      </c>
      <c r="AF63" s="32">
        <f t="shared" si="9"/>
        <v>9266</v>
      </c>
      <c r="AG63" s="37">
        <f t="shared" si="10"/>
        <v>-1.7</v>
      </c>
      <c r="AH63" s="32">
        <f t="shared" si="11"/>
        <v>20459</v>
      </c>
      <c r="AI63" s="37">
        <f t="shared" si="12"/>
        <v>8.5</v>
      </c>
    </row>
    <row r="64" spans="1:35" ht="19.5" hidden="1" customHeight="1">
      <c r="A64" s="610" t="s">
        <v>58</v>
      </c>
      <c r="B64" s="32">
        <v>2257</v>
      </c>
      <c r="C64" s="32">
        <v>9029</v>
      </c>
      <c r="D64" s="32">
        <v>2474</v>
      </c>
      <c r="E64" s="32">
        <v>18827</v>
      </c>
      <c r="F64" s="32">
        <v>2</v>
      </c>
      <c r="G64" s="32">
        <v>154</v>
      </c>
      <c r="H64" s="32">
        <v>1</v>
      </c>
      <c r="I64" s="32">
        <v>46</v>
      </c>
      <c r="J64" s="32">
        <v>7404</v>
      </c>
      <c r="K64" s="32">
        <v>9149</v>
      </c>
      <c r="L64" s="32">
        <v>4411</v>
      </c>
      <c r="M64" s="32">
        <v>6458</v>
      </c>
      <c r="N64" s="32">
        <v>0</v>
      </c>
      <c r="O64" s="32">
        <v>1</v>
      </c>
      <c r="P64" s="32">
        <v>1519</v>
      </c>
      <c r="Q64" s="32">
        <v>3231</v>
      </c>
      <c r="R64" s="32">
        <v>0</v>
      </c>
      <c r="S64" s="32">
        <v>0</v>
      </c>
      <c r="T64" s="32">
        <v>0</v>
      </c>
      <c r="U64" s="32">
        <v>1</v>
      </c>
      <c r="V64" s="32">
        <v>0</v>
      </c>
      <c r="W64" s="32">
        <v>0</v>
      </c>
      <c r="X64" s="32">
        <v>0</v>
      </c>
      <c r="Y64" s="32">
        <v>0</v>
      </c>
      <c r="Z64" s="32">
        <v>3</v>
      </c>
      <c r="AA64" s="32">
        <v>119</v>
      </c>
      <c r="AB64" s="32">
        <v>45</v>
      </c>
      <c r="AC64" s="32">
        <v>168</v>
      </c>
      <c r="AD64" s="32">
        <f t="shared" si="13"/>
        <v>9666</v>
      </c>
      <c r="AE64" s="32">
        <f t="shared" si="8"/>
        <v>18452</v>
      </c>
      <c r="AF64" s="32">
        <f t="shared" si="9"/>
        <v>8450</v>
      </c>
      <c r="AG64" s="37">
        <f t="shared" si="10"/>
        <v>-12.6</v>
      </c>
      <c r="AH64" s="32">
        <f t="shared" si="11"/>
        <v>28731</v>
      </c>
      <c r="AI64" s="37">
        <f t="shared" si="12"/>
        <v>55.7</v>
      </c>
    </row>
    <row r="65" spans="1:35" ht="19.5" hidden="1" customHeight="1">
      <c r="A65" s="610" t="s">
        <v>84</v>
      </c>
      <c r="B65" s="32">
        <v>175</v>
      </c>
      <c r="C65" s="32">
        <v>969</v>
      </c>
      <c r="D65" s="32">
        <v>371</v>
      </c>
      <c r="E65" s="32">
        <v>2534</v>
      </c>
      <c r="F65" s="32">
        <v>0</v>
      </c>
      <c r="G65" s="32">
        <v>0</v>
      </c>
      <c r="H65" s="32">
        <v>0</v>
      </c>
      <c r="I65" s="32">
        <v>0</v>
      </c>
      <c r="J65" s="32">
        <v>12197</v>
      </c>
      <c r="K65" s="32">
        <v>23300</v>
      </c>
      <c r="L65" s="32">
        <v>13311</v>
      </c>
      <c r="M65" s="32">
        <v>27402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f t="shared" si="13"/>
        <v>12372</v>
      </c>
      <c r="AE65" s="32">
        <f t="shared" si="8"/>
        <v>24269</v>
      </c>
      <c r="AF65" s="32">
        <f t="shared" si="9"/>
        <v>13682</v>
      </c>
      <c r="AG65" s="37">
        <f t="shared" si="10"/>
        <v>10.6</v>
      </c>
      <c r="AH65" s="32">
        <f t="shared" si="11"/>
        <v>29936</v>
      </c>
      <c r="AI65" s="37">
        <f t="shared" si="12"/>
        <v>23.4</v>
      </c>
    </row>
    <row r="66" spans="1:35" ht="19.5" hidden="1" customHeight="1">
      <c r="A66" s="610" t="s">
        <v>65</v>
      </c>
      <c r="B66" s="32">
        <v>838</v>
      </c>
      <c r="C66" s="32">
        <v>4402</v>
      </c>
      <c r="D66" s="32">
        <v>1247</v>
      </c>
      <c r="E66" s="32">
        <v>6645</v>
      </c>
      <c r="F66" s="32">
        <v>731</v>
      </c>
      <c r="G66" s="32">
        <v>11286</v>
      </c>
      <c r="H66" s="32">
        <v>716</v>
      </c>
      <c r="I66" s="32">
        <v>11031</v>
      </c>
      <c r="J66" s="32">
        <v>3661</v>
      </c>
      <c r="K66" s="32">
        <v>6488</v>
      </c>
      <c r="L66" s="32">
        <v>7702</v>
      </c>
      <c r="M66" s="32">
        <v>10030</v>
      </c>
      <c r="N66" s="32">
        <v>0</v>
      </c>
      <c r="O66" s="32">
        <v>0</v>
      </c>
      <c r="P66" s="32">
        <v>95</v>
      </c>
      <c r="Q66" s="32">
        <v>186</v>
      </c>
      <c r="R66" s="32">
        <v>0</v>
      </c>
      <c r="S66" s="32">
        <v>7</v>
      </c>
      <c r="T66" s="32">
        <v>1464</v>
      </c>
      <c r="U66" s="32">
        <v>4198</v>
      </c>
      <c r="V66" s="32">
        <v>0</v>
      </c>
      <c r="W66" s="32">
        <v>1</v>
      </c>
      <c r="X66" s="32">
        <v>0</v>
      </c>
      <c r="Y66" s="32">
        <v>29</v>
      </c>
      <c r="Z66" s="32">
        <v>24</v>
      </c>
      <c r="AA66" s="32">
        <v>1338</v>
      </c>
      <c r="AB66" s="32">
        <v>23</v>
      </c>
      <c r="AC66" s="32">
        <v>1057</v>
      </c>
      <c r="AD66" s="32">
        <f t="shared" si="13"/>
        <v>5254</v>
      </c>
      <c r="AE66" s="32">
        <f t="shared" si="8"/>
        <v>23522</v>
      </c>
      <c r="AF66" s="32">
        <f t="shared" si="9"/>
        <v>11247</v>
      </c>
      <c r="AG66" s="37">
        <f t="shared" si="10"/>
        <v>114.1</v>
      </c>
      <c r="AH66" s="32">
        <f t="shared" si="11"/>
        <v>33176</v>
      </c>
      <c r="AI66" s="37">
        <f t="shared" si="12"/>
        <v>41</v>
      </c>
    </row>
    <row r="67" spans="1:35" ht="19.5" hidden="1" customHeight="1">
      <c r="A67" s="610" t="s">
        <v>52</v>
      </c>
      <c r="B67" s="32">
        <v>5367</v>
      </c>
      <c r="C67" s="32">
        <v>31233</v>
      </c>
      <c r="D67" s="32">
        <v>7389</v>
      </c>
      <c r="E67" s="32">
        <v>55994</v>
      </c>
      <c r="F67" s="32">
        <v>13</v>
      </c>
      <c r="G67" s="32">
        <v>10</v>
      </c>
      <c r="H67" s="32">
        <v>162</v>
      </c>
      <c r="I67" s="32">
        <v>211</v>
      </c>
      <c r="J67" s="32">
        <v>3891</v>
      </c>
      <c r="K67" s="32">
        <v>4705</v>
      </c>
      <c r="L67" s="32">
        <v>4678</v>
      </c>
      <c r="M67" s="32">
        <v>7225</v>
      </c>
      <c r="N67" s="32">
        <v>560</v>
      </c>
      <c r="O67" s="32">
        <v>1063</v>
      </c>
      <c r="P67" s="32">
        <v>234</v>
      </c>
      <c r="Q67" s="32">
        <v>456</v>
      </c>
      <c r="R67" s="32">
        <v>7</v>
      </c>
      <c r="S67" s="32">
        <v>15</v>
      </c>
      <c r="T67" s="32">
        <v>0</v>
      </c>
      <c r="U67" s="32">
        <v>0</v>
      </c>
      <c r="V67" s="32">
        <v>0</v>
      </c>
      <c r="W67" s="32">
        <v>14</v>
      </c>
      <c r="X67" s="32">
        <v>0</v>
      </c>
      <c r="Y67" s="32">
        <v>3</v>
      </c>
      <c r="Z67" s="32">
        <v>0</v>
      </c>
      <c r="AA67" s="32">
        <v>0</v>
      </c>
      <c r="AB67" s="32">
        <v>1</v>
      </c>
      <c r="AC67" s="32">
        <v>92</v>
      </c>
      <c r="AD67" s="32">
        <f t="shared" si="13"/>
        <v>9838</v>
      </c>
      <c r="AE67" s="32">
        <f t="shared" si="8"/>
        <v>37040</v>
      </c>
      <c r="AF67" s="32">
        <f t="shared" si="9"/>
        <v>12464</v>
      </c>
      <c r="AG67" s="37">
        <f t="shared" si="10"/>
        <v>26.7</v>
      </c>
      <c r="AH67" s="32">
        <f t="shared" si="11"/>
        <v>63981</v>
      </c>
      <c r="AI67" s="37">
        <f t="shared" si="12"/>
        <v>72.7</v>
      </c>
    </row>
    <row r="68" spans="1:35" ht="19.5" hidden="1" customHeight="1">
      <c r="A68" s="610" t="s">
        <v>64</v>
      </c>
      <c r="B68" s="32">
        <v>602</v>
      </c>
      <c r="C68" s="32">
        <v>4050</v>
      </c>
      <c r="D68" s="32">
        <v>691</v>
      </c>
      <c r="E68" s="32">
        <v>4844</v>
      </c>
      <c r="F68" s="32">
        <v>107</v>
      </c>
      <c r="G68" s="32">
        <v>2490</v>
      </c>
      <c r="H68" s="32">
        <v>73</v>
      </c>
      <c r="I68" s="32">
        <v>1692</v>
      </c>
      <c r="J68" s="32">
        <v>4221</v>
      </c>
      <c r="K68" s="32">
        <v>6892</v>
      </c>
      <c r="L68" s="32">
        <v>4983</v>
      </c>
      <c r="M68" s="32">
        <v>8604</v>
      </c>
      <c r="N68" s="32">
        <v>3</v>
      </c>
      <c r="O68" s="32">
        <v>22</v>
      </c>
      <c r="P68" s="32">
        <v>0</v>
      </c>
      <c r="Q68" s="32">
        <v>0</v>
      </c>
      <c r="R68" s="32">
        <v>1</v>
      </c>
      <c r="S68" s="32">
        <v>21</v>
      </c>
      <c r="T68" s="32">
        <v>0</v>
      </c>
      <c r="U68" s="32">
        <v>4</v>
      </c>
      <c r="V68" s="32">
        <v>4</v>
      </c>
      <c r="W68" s="32">
        <v>80</v>
      </c>
      <c r="X68" s="32">
        <v>3</v>
      </c>
      <c r="Y68" s="32">
        <v>62</v>
      </c>
      <c r="Z68" s="32">
        <v>191</v>
      </c>
      <c r="AA68" s="32">
        <v>2575</v>
      </c>
      <c r="AB68" s="32">
        <v>276</v>
      </c>
      <c r="AC68" s="32">
        <v>2467</v>
      </c>
      <c r="AD68" s="32">
        <f t="shared" si="13"/>
        <v>5129</v>
      </c>
      <c r="AE68" s="32">
        <f t="shared" si="8"/>
        <v>16130</v>
      </c>
      <c r="AF68" s="32">
        <f t="shared" si="9"/>
        <v>6026</v>
      </c>
      <c r="AG68" s="37">
        <f t="shared" si="10"/>
        <v>17.5</v>
      </c>
      <c r="AH68" s="32">
        <f t="shared" si="11"/>
        <v>17673</v>
      </c>
      <c r="AI68" s="37">
        <f t="shared" si="12"/>
        <v>9.6</v>
      </c>
    </row>
    <row r="69" spans="1:35" ht="19.5" hidden="1" customHeight="1">
      <c r="A69" s="610" t="s">
        <v>51</v>
      </c>
      <c r="B69" s="32">
        <v>2072</v>
      </c>
      <c r="C69" s="32">
        <v>11285</v>
      </c>
      <c r="D69" s="32">
        <v>1588</v>
      </c>
      <c r="E69" s="32">
        <v>11062</v>
      </c>
      <c r="F69" s="32">
        <v>0</v>
      </c>
      <c r="G69" s="32">
        <v>1</v>
      </c>
      <c r="H69" s="32">
        <v>1203</v>
      </c>
      <c r="I69" s="32">
        <v>13790</v>
      </c>
      <c r="J69" s="32">
        <v>2194</v>
      </c>
      <c r="K69" s="32">
        <v>3541</v>
      </c>
      <c r="L69" s="32">
        <v>998</v>
      </c>
      <c r="M69" s="32">
        <v>1723</v>
      </c>
      <c r="N69" s="32">
        <v>40</v>
      </c>
      <c r="O69" s="32">
        <v>363</v>
      </c>
      <c r="P69" s="32">
        <v>22</v>
      </c>
      <c r="Q69" s="32">
        <v>206</v>
      </c>
      <c r="R69" s="32">
        <v>0</v>
      </c>
      <c r="S69" s="32">
        <v>0</v>
      </c>
      <c r="T69" s="32">
        <v>80</v>
      </c>
      <c r="U69" s="32">
        <v>203</v>
      </c>
      <c r="V69" s="32">
        <v>1365</v>
      </c>
      <c r="W69" s="32">
        <v>23358</v>
      </c>
      <c r="X69" s="32">
        <v>719</v>
      </c>
      <c r="Y69" s="32">
        <v>14215</v>
      </c>
      <c r="Z69" s="32">
        <v>0</v>
      </c>
      <c r="AA69" s="32">
        <v>0</v>
      </c>
      <c r="AB69" s="32">
        <v>25</v>
      </c>
      <c r="AC69" s="32">
        <v>51</v>
      </c>
      <c r="AD69" s="32">
        <f t="shared" si="13"/>
        <v>5671</v>
      </c>
      <c r="AE69" s="32">
        <f t="shared" si="8"/>
        <v>38548</v>
      </c>
      <c r="AF69" s="32">
        <f t="shared" si="9"/>
        <v>4635</v>
      </c>
      <c r="AG69" s="37">
        <f t="shared" si="10"/>
        <v>-18.3</v>
      </c>
      <c r="AH69" s="32">
        <f t="shared" si="11"/>
        <v>41250</v>
      </c>
      <c r="AI69" s="37">
        <f t="shared" si="12"/>
        <v>7</v>
      </c>
    </row>
    <row r="70" spans="1:35" ht="19.5" hidden="1" customHeight="1">
      <c r="A70" s="610" t="s">
        <v>61</v>
      </c>
      <c r="B70" s="32">
        <v>1202</v>
      </c>
      <c r="C70" s="32">
        <v>9448</v>
      </c>
      <c r="D70" s="32">
        <v>1412</v>
      </c>
      <c r="E70" s="32">
        <v>11618</v>
      </c>
      <c r="F70" s="32">
        <v>152</v>
      </c>
      <c r="G70" s="32">
        <v>4914</v>
      </c>
      <c r="H70" s="32">
        <v>118</v>
      </c>
      <c r="I70" s="32">
        <v>3864</v>
      </c>
      <c r="J70" s="32">
        <v>4068</v>
      </c>
      <c r="K70" s="32">
        <v>23962</v>
      </c>
      <c r="L70" s="32">
        <v>3680</v>
      </c>
      <c r="M70" s="32">
        <v>16240</v>
      </c>
      <c r="N70" s="32">
        <v>20</v>
      </c>
      <c r="O70" s="32">
        <v>135</v>
      </c>
      <c r="P70" s="32">
        <v>74</v>
      </c>
      <c r="Q70" s="32">
        <v>254</v>
      </c>
      <c r="R70" s="32">
        <v>121</v>
      </c>
      <c r="S70" s="32">
        <v>557</v>
      </c>
      <c r="T70" s="32">
        <v>86</v>
      </c>
      <c r="U70" s="32">
        <v>346</v>
      </c>
      <c r="V70" s="32">
        <v>5</v>
      </c>
      <c r="W70" s="32">
        <v>121</v>
      </c>
      <c r="X70" s="32">
        <v>2</v>
      </c>
      <c r="Y70" s="32">
        <v>51</v>
      </c>
      <c r="Z70" s="32">
        <v>157</v>
      </c>
      <c r="AA70" s="32">
        <v>3860</v>
      </c>
      <c r="AB70" s="32">
        <v>229</v>
      </c>
      <c r="AC70" s="32">
        <v>3167</v>
      </c>
      <c r="AD70" s="32">
        <f t="shared" si="13"/>
        <v>5725</v>
      </c>
      <c r="AE70" s="32">
        <f t="shared" si="8"/>
        <v>42997</v>
      </c>
      <c r="AF70" s="32">
        <f t="shared" si="9"/>
        <v>5601</v>
      </c>
      <c r="AG70" s="37">
        <f t="shared" si="10"/>
        <v>-2.2000000000000002</v>
      </c>
      <c r="AH70" s="32">
        <f t="shared" si="11"/>
        <v>35540</v>
      </c>
      <c r="AI70" s="37">
        <f t="shared" si="12"/>
        <v>-17.3</v>
      </c>
    </row>
    <row r="71" spans="1:35" ht="19.5" hidden="1" customHeight="1">
      <c r="A71" s="610" t="s">
        <v>53</v>
      </c>
      <c r="B71" s="32">
        <v>1659</v>
      </c>
      <c r="C71" s="32">
        <v>6089</v>
      </c>
      <c r="D71" s="32">
        <v>2198</v>
      </c>
      <c r="E71" s="32">
        <v>9256</v>
      </c>
      <c r="F71" s="32">
        <v>0</v>
      </c>
      <c r="G71" s="32">
        <v>1</v>
      </c>
      <c r="H71" s="32">
        <v>0</v>
      </c>
      <c r="I71" s="32">
        <v>1</v>
      </c>
      <c r="J71" s="32">
        <v>1790</v>
      </c>
      <c r="K71" s="32">
        <v>2372</v>
      </c>
      <c r="L71" s="32">
        <v>1915</v>
      </c>
      <c r="M71" s="32">
        <v>3453</v>
      </c>
      <c r="N71" s="32">
        <v>1</v>
      </c>
      <c r="O71" s="32">
        <v>1</v>
      </c>
      <c r="P71" s="32">
        <v>47</v>
      </c>
      <c r="Q71" s="32">
        <v>90</v>
      </c>
      <c r="R71" s="32">
        <v>0</v>
      </c>
      <c r="S71" s="32">
        <v>57</v>
      </c>
      <c r="T71" s="32">
        <v>0</v>
      </c>
      <c r="U71" s="32">
        <v>1</v>
      </c>
      <c r="V71" s="32">
        <v>0</v>
      </c>
      <c r="W71" s="32">
        <v>0</v>
      </c>
      <c r="X71" s="32">
        <v>0</v>
      </c>
      <c r="Y71" s="32">
        <v>0</v>
      </c>
      <c r="Z71" s="32">
        <v>8</v>
      </c>
      <c r="AA71" s="32">
        <v>159</v>
      </c>
      <c r="AB71" s="32">
        <v>0</v>
      </c>
      <c r="AC71" s="32">
        <v>61</v>
      </c>
      <c r="AD71" s="32">
        <f t="shared" si="13"/>
        <v>3458</v>
      </c>
      <c r="AE71" s="32">
        <f t="shared" si="8"/>
        <v>8679</v>
      </c>
      <c r="AF71" s="32">
        <f t="shared" si="9"/>
        <v>4160</v>
      </c>
      <c r="AG71" s="37">
        <f t="shared" si="10"/>
        <v>20.3</v>
      </c>
      <c r="AH71" s="32">
        <f t="shared" si="11"/>
        <v>12862</v>
      </c>
      <c r="AI71" s="37">
        <f t="shared" si="12"/>
        <v>48.2</v>
      </c>
    </row>
    <row r="72" spans="1:35" ht="19.5" hidden="1" customHeight="1">
      <c r="A72" s="610" t="s">
        <v>85</v>
      </c>
      <c r="B72" s="32">
        <v>1641</v>
      </c>
      <c r="C72" s="32">
        <v>8535</v>
      </c>
      <c r="D72" s="32">
        <v>1402</v>
      </c>
      <c r="E72" s="32">
        <v>8861</v>
      </c>
      <c r="F72" s="32">
        <v>0</v>
      </c>
      <c r="G72" s="32">
        <v>13</v>
      </c>
      <c r="H72" s="32">
        <v>0</v>
      </c>
      <c r="I72" s="32">
        <v>0</v>
      </c>
      <c r="J72" s="32">
        <v>1962</v>
      </c>
      <c r="K72" s="32">
        <v>2530</v>
      </c>
      <c r="L72" s="32">
        <v>4211</v>
      </c>
      <c r="M72" s="32">
        <v>6238</v>
      </c>
      <c r="N72" s="32">
        <v>0</v>
      </c>
      <c r="O72" s="32">
        <v>1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1</v>
      </c>
      <c r="AD72" s="32">
        <f t="shared" si="13"/>
        <v>3603</v>
      </c>
      <c r="AE72" s="32">
        <f t="shared" si="8"/>
        <v>11079</v>
      </c>
      <c r="AF72" s="32">
        <f t="shared" si="9"/>
        <v>5613</v>
      </c>
      <c r="AG72" s="37">
        <f t="shared" si="10"/>
        <v>55.8</v>
      </c>
      <c r="AH72" s="32">
        <f t="shared" si="11"/>
        <v>15100</v>
      </c>
      <c r="AI72" s="37">
        <f t="shared" si="12"/>
        <v>36.299999999999997</v>
      </c>
    </row>
    <row r="73" spans="1:35" ht="19.5" hidden="1" customHeight="1">
      <c r="A73" s="610" t="s">
        <v>81</v>
      </c>
      <c r="B73" s="32">
        <v>1763</v>
      </c>
      <c r="C73" s="32">
        <v>9155</v>
      </c>
      <c r="D73" s="32">
        <v>122</v>
      </c>
      <c r="E73" s="32">
        <v>758</v>
      </c>
      <c r="F73" s="32">
        <v>0</v>
      </c>
      <c r="G73" s="32">
        <v>0</v>
      </c>
      <c r="H73" s="32">
        <v>0</v>
      </c>
      <c r="I73" s="32">
        <v>0</v>
      </c>
      <c r="J73" s="32">
        <v>358</v>
      </c>
      <c r="K73" s="32">
        <v>524</v>
      </c>
      <c r="L73" s="32">
        <v>0</v>
      </c>
      <c r="M73" s="32">
        <v>0</v>
      </c>
      <c r="N73" s="32">
        <v>1550</v>
      </c>
      <c r="O73" s="32">
        <v>3043</v>
      </c>
      <c r="P73" s="32">
        <v>1093</v>
      </c>
      <c r="Q73" s="32">
        <v>2154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f t="shared" si="13"/>
        <v>3671</v>
      </c>
      <c r="AE73" s="32">
        <f t="shared" si="8"/>
        <v>12722</v>
      </c>
      <c r="AF73" s="32">
        <f t="shared" si="9"/>
        <v>1215</v>
      </c>
      <c r="AG73" s="37">
        <f t="shared" si="10"/>
        <v>-66.900000000000006</v>
      </c>
      <c r="AH73" s="32">
        <f t="shared" si="11"/>
        <v>2912</v>
      </c>
      <c r="AI73" s="37">
        <f t="shared" si="12"/>
        <v>-77.099999999999994</v>
      </c>
    </row>
    <row r="74" spans="1:35" ht="19.5" hidden="1" customHeight="1">
      <c r="A74" s="610" t="s">
        <v>82</v>
      </c>
      <c r="B74" s="32">
        <v>1744</v>
      </c>
      <c r="C74" s="32">
        <v>2973</v>
      </c>
      <c r="D74" s="32">
        <v>1865</v>
      </c>
      <c r="E74" s="32">
        <v>14318</v>
      </c>
      <c r="F74" s="32">
        <v>62</v>
      </c>
      <c r="G74" s="32">
        <v>1047</v>
      </c>
      <c r="H74" s="32">
        <v>16</v>
      </c>
      <c r="I74" s="32">
        <v>296</v>
      </c>
      <c r="J74" s="32">
        <v>2556</v>
      </c>
      <c r="K74" s="32">
        <v>4326</v>
      </c>
      <c r="L74" s="32">
        <v>1790</v>
      </c>
      <c r="M74" s="32">
        <v>3053</v>
      </c>
      <c r="N74" s="32">
        <v>1</v>
      </c>
      <c r="O74" s="32">
        <v>1</v>
      </c>
      <c r="P74" s="32">
        <v>0</v>
      </c>
      <c r="Q74" s="32">
        <v>1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24</v>
      </c>
      <c r="AA74" s="32">
        <v>238</v>
      </c>
      <c r="AB74" s="32">
        <v>2</v>
      </c>
      <c r="AC74" s="32">
        <v>92</v>
      </c>
      <c r="AD74" s="32">
        <f t="shared" si="13"/>
        <v>4387</v>
      </c>
      <c r="AE74" s="32">
        <f t="shared" si="8"/>
        <v>8585</v>
      </c>
      <c r="AF74" s="32">
        <f t="shared" si="9"/>
        <v>3673</v>
      </c>
      <c r="AG74" s="37">
        <f t="shared" si="10"/>
        <v>-16.3</v>
      </c>
      <c r="AH74" s="32">
        <f t="shared" si="11"/>
        <v>17760</v>
      </c>
      <c r="AI74" s="37">
        <f t="shared" si="12"/>
        <v>106.9</v>
      </c>
    </row>
    <row r="75" spans="1:35" ht="19.5" hidden="1" customHeight="1">
      <c r="A75" s="610" t="s">
        <v>505</v>
      </c>
      <c r="B75" s="32">
        <v>3392</v>
      </c>
      <c r="C75" s="32">
        <v>16802</v>
      </c>
      <c r="D75" s="32">
        <v>1400</v>
      </c>
      <c r="E75" s="32">
        <v>18567</v>
      </c>
      <c r="F75" s="32">
        <v>0</v>
      </c>
      <c r="G75" s="32">
        <v>0</v>
      </c>
      <c r="H75" s="32">
        <v>0</v>
      </c>
      <c r="I75" s="32">
        <v>0</v>
      </c>
      <c r="J75" s="32">
        <v>733</v>
      </c>
      <c r="K75" s="32">
        <v>720</v>
      </c>
      <c r="L75" s="32">
        <v>459</v>
      </c>
      <c r="M75" s="32">
        <v>607</v>
      </c>
      <c r="N75" s="32">
        <v>0</v>
      </c>
      <c r="O75" s="32">
        <v>0</v>
      </c>
      <c r="P75" s="32">
        <v>63</v>
      </c>
      <c r="Q75" s="32">
        <v>147</v>
      </c>
      <c r="R75" s="32">
        <v>688</v>
      </c>
      <c r="S75" s="32">
        <v>1742</v>
      </c>
      <c r="T75" s="32">
        <v>375</v>
      </c>
      <c r="U75" s="32">
        <v>1082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f t="shared" si="13"/>
        <v>4813</v>
      </c>
      <c r="AE75" s="32">
        <f t="shared" si="8"/>
        <v>19264</v>
      </c>
      <c r="AF75" s="32">
        <f t="shared" si="9"/>
        <v>2297</v>
      </c>
      <c r="AG75" s="37">
        <f t="shared" si="10"/>
        <v>-52.3</v>
      </c>
      <c r="AH75" s="32">
        <f t="shared" si="11"/>
        <v>20403</v>
      </c>
      <c r="AI75" s="37">
        <f t="shared" si="12"/>
        <v>5.9</v>
      </c>
    </row>
    <row r="76" spans="1:35" ht="19.5" hidden="1" customHeight="1">
      <c r="A76" s="610" t="s">
        <v>506</v>
      </c>
      <c r="B76" s="32">
        <v>0</v>
      </c>
      <c r="C76" s="32">
        <v>0</v>
      </c>
      <c r="D76" s="32">
        <v>19</v>
      </c>
      <c r="E76" s="32">
        <v>131</v>
      </c>
      <c r="F76" s="32">
        <v>0</v>
      </c>
      <c r="G76" s="32">
        <v>0</v>
      </c>
      <c r="H76" s="32">
        <v>0</v>
      </c>
      <c r="I76" s="32">
        <v>0</v>
      </c>
      <c r="J76" s="32">
        <v>2330</v>
      </c>
      <c r="K76" s="32">
        <v>2952</v>
      </c>
      <c r="L76" s="32">
        <v>2643</v>
      </c>
      <c r="M76" s="32">
        <v>3541</v>
      </c>
      <c r="N76" s="32">
        <v>142</v>
      </c>
      <c r="O76" s="32">
        <v>312</v>
      </c>
      <c r="P76" s="32">
        <v>50</v>
      </c>
      <c r="Q76" s="32">
        <v>114</v>
      </c>
      <c r="R76" s="32">
        <v>0</v>
      </c>
      <c r="S76" s="32">
        <v>0</v>
      </c>
      <c r="T76" s="32">
        <v>291</v>
      </c>
      <c r="U76" s="32">
        <v>820</v>
      </c>
      <c r="V76" s="32">
        <v>0</v>
      </c>
      <c r="W76" s="32">
        <v>0</v>
      </c>
      <c r="X76" s="32">
        <v>0</v>
      </c>
      <c r="Y76" s="32">
        <v>0</v>
      </c>
      <c r="Z76" s="32">
        <v>20</v>
      </c>
      <c r="AA76" s="32">
        <v>109</v>
      </c>
      <c r="AB76" s="32">
        <v>137</v>
      </c>
      <c r="AC76" s="32">
        <v>837</v>
      </c>
      <c r="AD76" s="32">
        <f t="shared" si="13"/>
        <v>2492</v>
      </c>
      <c r="AE76" s="32">
        <f t="shared" si="8"/>
        <v>3373</v>
      </c>
      <c r="AF76" s="32">
        <f t="shared" si="9"/>
        <v>3140</v>
      </c>
      <c r="AG76" s="37">
        <f t="shared" si="10"/>
        <v>26</v>
      </c>
      <c r="AH76" s="32">
        <f t="shared" si="11"/>
        <v>5443</v>
      </c>
      <c r="AI76" s="37">
        <f t="shared" si="12"/>
        <v>61.4</v>
      </c>
    </row>
    <row r="77" spans="1:35" ht="19.5" hidden="1" customHeight="1">
      <c r="A77" s="610" t="s">
        <v>233</v>
      </c>
      <c r="B77" s="32">
        <v>1110</v>
      </c>
      <c r="C77" s="32">
        <v>2981</v>
      </c>
      <c r="D77" s="32">
        <v>592</v>
      </c>
      <c r="E77" s="32">
        <v>2926</v>
      </c>
      <c r="F77" s="32">
        <v>29</v>
      </c>
      <c r="G77" s="32"/>
      <c r="H77" s="32">
        <v>236</v>
      </c>
      <c r="I77" s="32">
        <v>1900</v>
      </c>
      <c r="J77" s="32">
        <v>1783</v>
      </c>
      <c r="K77" s="32">
        <v>2067</v>
      </c>
      <c r="L77" s="32">
        <v>3000</v>
      </c>
      <c r="M77" s="32">
        <v>4350</v>
      </c>
      <c r="N77" s="32">
        <v>0</v>
      </c>
      <c r="O77" s="32">
        <v>0</v>
      </c>
      <c r="P77" s="32">
        <v>0</v>
      </c>
      <c r="Q77" s="32">
        <v>0</v>
      </c>
      <c r="R77" s="32">
        <v>88</v>
      </c>
      <c r="S77" s="32">
        <v>214</v>
      </c>
      <c r="T77" s="32">
        <v>18</v>
      </c>
      <c r="U77" s="32">
        <v>70</v>
      </c>
      <c r="V77" s="32">
        <v>150</v>
      </c>
      <c r="W77" s="32">
        <v>2601</v>
      </c>
      <c r="X77" s="32">
        <v>0</v>
      </c>
      <c r="Y77" s="32">
        <v>0</v>
      </c>
      <c r="Z77" s="32">
        <v>23</v>
      </c>
      <c r="AA77" s="32">
        <v>1178</v>
      </c>
      <c r="AB77" s="32">
        <v>19</v>
      </c>
      <c r="AC77" s="32">
        <v>1165</v>
      </c>
      <c r="AD77" s="32">
        <f t="shared" si="13"/>
        <v>3183</v>
      </c>
      <c r="AE77" s="32">
        <f t="shared" si="8"/>
        <v>9041</v>
      </c>
      <c r="AF77" s="32">
        <f t="shared" si="9"/>
        <v>3865</v>
      </c>
      <c r="AG77" s="37">
        <f t="shared" si="10"/>
        <v>21.4</v>
      </c>
      <c r="AH77" s="32">
        <f t="shared" si="11"/>
        <v>10411</v>
      </c>
      <c r="AI77" s="37">
        <f t="shared" si="12"/>
        <v>15.2</v>
      </c>
    </row>
    <row r="78" spans="1:35" ht="19.5" hidden="1" customHeight="1">
      <c r="A78" s="30" t="s">
        <v>71</v>
      </c>
      <c r="B78" s="33">
        <f t="shared" ref="B78:M78" si="14">B79-SUM(B48:B77)</f>
        <v>22950</v>
      </c>
      <c r="C78" s="33">
        <f t="shared" si="14"/>
        <v>126586</v>
      </c>
      <c r="D78" s="33">
        <f t="shared" si="14"/>
        <v>16186</v>
      </c>
      <c r="E78" s="33">
        <f t="shared" si="14"/>
        <v>115169</v>
      </c>
      <c r="F78" s="33">
        <f t="shared" si="14"/>
        <v>5726</v>
      </c>
      <c r="G78" s="33">
        <f t="shared" si="14"/>
        <v>104739</v>
      </c>
      <c r="H78" s="33">
        <f t="shared" si="14"/>
        <v>3648</v>
      </c>
      <c r="I78" s="33">
        <f t="shared" si="14"/>
        <v>88915</v>
      </c>
      <c r="J78" s="33">
        <f t="shared" si="14"/>
        <v>16401</v>
      </c>
      <c r="K78" s="33">
        <f t="shared" si="14"/>
        <v>45464</v>
      </c>
      <c r="L78" s="33">
        <f t="shared" si="14"/>
        <v>25387</v>
      </c>
      <c r="M78" s="33">
        <f t="shared" si="14"/>
        <v>58455</v>
      </c>
      <c r="N78" s="33">
        <f>N79-SUM(N48:N77)</f>
        <v>3496</v>
      </c>
      <c r="O78" s="33">
        <f>O79-SUM(O48:O77)</f>
        <v>6759</v>
      </c>
      <c r="P78" s="33">
        <f>P79-SUM(P48:P77)</f>
        <v>3585</v>
      </c>
      <c r="Q78" s="33">
        <f>Q79-SUM(Q48:Q77)</f>
        <v>7103</v>
      </c>
      <c r="R78" s="33">
        <f t="shared" ref="R78:AF78" si="15">R79-SUM(R48:R77)</f>
        <v>392</v>
      </c>
      <c r="S78" s="33">
        <f t="shared" si="15"/>
        <v>1841</v>
      </c>
      <c r="T78" s="33">
        <f t="shared" si="15"/>
        <v>146</v>
      </c>
      <c r="U78" s="33">
        <f t="shared" si="15"/>
        <v>868</v>
      </c>
      <c r="V78" s="33">
        <f t="shared" si="15"/>
        <v>10</v>
      </c>
      <c r="W78" s="33">
        <f t="shared" si="15"/>
        <v>194</v>
      </c>
      <c r="X78" s="33">
        <f t="shared" si="15"/>
        <v>2</v>
      </c>
      <c r="Y78" s="33">
        <f>Y79-SUM(Y48:Y77)</f>
        <v>1286</v>
      </c>
      <c r="Z78" s="33">
        <f t="shared" si="15"/>
        <v>967</v>
      </c>
      <c r="AA78" s="33">
        <f t="shared" si="15"/>
        <v>16947</v>
      </c>
      <c r="AB78" s="33">
        <f t="shared" si="15"/>
        <v>1531</v>
      </c>
      <c r="AC78" s="33">
        <f t="shared" si="15"/>
        <v>15828</v>
      </c>
      <c r="AD78" s="33">
        <f t="shared" si="15"/>
        <v>49942</v>
      </c>
      <c r="AE78" s="33">
        <f t="shared" si="15"/>
        <v>302530</v>
      </c>
      <c r="AF78" s="33">
        <f t="shared" si="15"/>
        <v>50485</v>
      </c>
      <c r="AG78" s="38">
        <f t="shared" si="10"/>
        <v>1.1000000000000001</v>
      </c>
      <c r="AH78" s="33">
        <f>AH79-SUM(AH48:AH77)</f>
        <v>287624</v>
      </c>
      <c r="AI78" s="38">
        <f t="shared" si="12"/>
        <v>-4.9000000000000004</v>
      </c>
    </row>
    <row r="79" spans="1:35" ht="19.5" hidden="1" customHeight="1">
      <c r="A79" s="31" t="s">
        <v>72</v>
      </c>
      <c r="B79" s="35">
        <v>140530</v>
      </c>
      <c r="C79" s="36">
        <v>837085</v>
      </c>
      <c r="D79" s="36">
        <v>152325</v>
      </c>
      <c r="E79" s="36">
        <v>1184628</v>
      </c>
      <c r="F79" s="36">
        <v>10146</v>
      </c>
      <c r="G79" s="36">
        <v>176043</v>
      </c>
      <c r="H79" s="36">
        <v>9676</v>
      </c>
      <c r="I79" s="36">
        <v>188348</v>
      </c>
      <c r="J79" s="36">
        <v>458609</v>
      </c>
      <c r="K79" s="36">
        <v>934703</v>
      </c>
      <c r="L79" s="36">
        <v>478540</v>
      </c>
      <c r="M79" s="36">
        <v>1100782</v>
      </c>
      <c r="N79" s="36">
        <v>21750</v>
      </c>
      <c r="O79" s="36">
        <v>44561</v>
      </c>
      <c r="P79" s="36">
        <v>23968</v>
      </c>
      <c r="Q79" s="36">
        <v>49007</v>
      </c>
      <c r="R79" s="36">
        <v>8915</v>
      </c>
      <c r="S79" s="36">
        <v>23883</v>
      </c>
      <c r="T79" s="36">
        <v>6014</v>
      </c>
      <c r="U79" s="36">
        <v>17901</v>
      </c>
      <c r="V79" s="36">
        <v>2201</v>
      </c>
      <c r="W79" s="36">
        <v>40094</v>
      </c>
      <c r="X79" s="36">
        <v>1985</v>
      </c>
      <c r="Y79" s="36">
        <v>44745</v>
      </c>
      <c r="Z79" s="36">
        <v>21983</v>
      </c>
      <c r="AA79" s="36">
        <v>149115</v>
      </c>
      <c r="AB79" s="36">
        <v>26151</v>
      </c>
      <c r="AC79" s="36">
        <v>162160</v>
      </c>
      <c r="AD79" s="36">
        <f>SUM(B79+F79+J79+N79+R79+V79+Z79)</f>
        <v>664134</v>
      </c>
      <c r="AE79" s="35">
        <f>SUM(C79+G79+K79+O79+S79+W79+AA79)</f>
        <v>2205484</v>
      </c>
      <c r="AF79" s="36">
        <f>SUM(D79+H79+L79+P79+T79+X79+AB79)</f>
        <v>698659</v>
      </c>
      <c r="AG79" s="38">
        <f t="shared" si="10"/>
        <v>5.2</v>
      </c>
      <c r="AH79" s="35">
        <f>SUM(E79+I79+M79+Q79+U79+Y79+AC79)</f>
        <v>2747571</v>
      </c>
      <c r="AI79" s="38">
        <f t="shared" si="12"/>
        <v>24.6</v>
      </c>
    </row>
    <row r="80" spans="1:35" hidden="1"/>
    <row r="81" spans="1:35" s="605" customFormat="1" ht="22.5" hidden="1" customHeight="1">
      <c r="A81" s="736" t="s">
        <v>585</v>
      </c>
      <c r="B81" s="736"/>
      <c r="C81" s="736"/>
      <c r="D81" s="736"/>
      <c r="E81" s="736"/>
      <c r="F81" s="736"/>
      <c r="G81" s="736"/>
      <c r="H81" s="736"/>
      <c r="I81" s="736"/>
      <c r="J81" s="736"/>
      <c r="K81" s="736"/>
      <c r="L81" s="736"/>
      <c r="M81" s="736"/>
      <c r="N81" s="736"/>
      <c r="O81" s="736"/>
      <c r="P81" s="736"/>
      <c r="Q81" s="736"/>
      <c r="R81" s="736"/>
      <c r="S81" s="736"/>
      <c r="T81" s="736"/>
      <c r="U81" s="736"/>
      <c r="V81" s="736"/>
      <c r="W81" s="736"/>
      <c r="X81" s="736"/>
      <c r="Y81" s="736"/>
      <c r="Z81" s="736"/>
      <c r="AA81" s="736"/>
      <c r="AB81" s="736"/>
      <c r="AC81" s="736"/>
      <c r="AD81" s="736"/>
      <c r="AE81" s="736"/>
      <c r="AF81" s="736"/>
      <c r="AG81" s="736"/>
      <c r="AH81" s="736"/>
      <c r="AI81" s="736"/>
    </row>
    <row r="82" spans="1:35" s="605" customFormat="1" ht="16.5" hidden="1" customHeight="1">
      <c r="A82" s="705"/>
      <c r="B82" s="705"/>
      <c r="C82" s="705"/>
      <c r="D82" s="705"/>
      <c r="E82" s="705"/>
      <c r="F82" s="705"/>
      <c r="G82" s="705"/>
      <c r="H82" s="705"/>
      <c r="I82" s="705"/>
      <c r="J82" s="705"/>
      <c r="K82" s="705"/>
      <c r="L82" s="705"/>
      <c r="M82" s="705"/>
      <c r="N82" s="705"/>
      <c r="O82" s="705"/>
      <c r="P82" s="705"/>
      <c r="Q82" s="705"/>
      <c r="R82" s="705"/>
      <c r="S82" s="705"/>
      <c r="T82" s="705"/>
      <c r="U82" s="705"/>
      <c r="V82" s="705"/>
      <c r="W82" s="705"/>
      <c r="X82" s="705"/>
      <c r="Y82" s="705"/>
      <c r="Z82" s="705"/>
      <c r="AA82" s="705"/>
      <c r="AB82" s="705"/>
      <c r="AC82" s="705"/>
      <c r="AD82" s="705"/>
      <c r="AE82" s="705"/>
      <c r="AF82" s="705"/>
      <c r="AG82" s="705"/>
      <c r="AH82" s="705"/>
      <c r="AI82" s="705"/>
    </row>
    <row r="83" spans="1:35" s="605" customFormat="1" hidden="1">
      <c r="A83" s="20"/>
      <c r="B83" s="20"/>
      <c r="C83" s="21"/>
      <c r="D83" s="22"/>
      <c r="E83" s="34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64"/>
      <c r="W83" s="164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6" t="s">
        <v>0</v>
      </c>
    </row>
    <row r="84" spans="1:35" s="605" customFormat="1" ht="21.75" hidden="1" customHeight="1">
      <c r="A84" s="758" t="s">
        <v>36</v>
      </c>
      <c r="B84" s="765" t="s">
        <v>575</v>
      </c>
      <c r="C84" s="766"/>
      <c r="D84" s="766"/>
      <c r="E84" s="767"/>
      <c r="F84" s="765" t="s">
        <v>576</v>
      </c>
      <c r="G84" s="766"/>
      <c r="H84" s="766"/>
      <c r="I84" s="767"/>
      <c r="J84" s="765" t="s">
        <v>577</v>
      </c>
      <c r="K84" s="766"/>
      <c r="L84" s="766"/>
      <c r="M84" s="767"/>
      <c r="N84" s="765" t="s">
        <v>578</v>
      </c>
      <c r="O84" s="766"/>
      <c r="P84" s="766"/>
      <c r="Q84" s="767"/>
      <c r="R84" s="765" t="s">
        <v>579</v>
      </c>
      <c r="S84" s="766"/>
      <c r="T84" s="766"/>
      <c r="U84" s="767"/>
      <c r="V84" s="765" t="s">
        <v>580</v>
      </c>
      <c r="W84" s="766"/>
      <c r="X84" s="766"/>
      <c r="Y84" s="767"/>
      <c r="Z84" s="765" t="s">
        <v>581</v>
      </c>
      <c r="AA84" s="766"/>
      <c r="AB84" s="766"/>
      <c r="AC84" s="767"/>
      <c r="AD84" s="765" t="s">
        <v>582</v>
      </c>
      <c r="AE84" s="766"/>
      <c r="AF84" s="766"/>
      <c r="AG84" s="766"/>
      <c r="AH84" s="766"/>
      <c r="AI84" s="767"/>
    </row>
    <row r="85" spans="1:35" s="605" customFormat="1" ht="21" hidden="1" customHeight="1">
      <c r="A85" s="836"/>
      <c r="B85" s="765" t="s">
        <v>431</v>
      </c>
      <c r="C85" s="767"/>
      <c r="D85" s="765" t="s">
        <v>503</v>
      </c>
      <c r="E85" s="767"/>
      <c r="F85" s="765" t="s">
        <v>431</v>
      </c>
      <c r="G85" s="767"/>
      <c r="H85" s="765" t="s">
        <v>503</v>
      </c>
      <c r="I85" s="767"/>
      <c r="J85" s="765" t="s">
        <v>431</v>
      </c>
      <c r="K85" s="767"/>
      <c r="L85" s="765" t="s">
        <v>503</v>
      </c>
      <c r="M85" s="767"/>
      <c r="N85" s="765" t="s">
        <v>431</v>
      </c>
      <c r="O85" s="767"/>
      <c r="P85" s="765" t="s">
        <v>503</v>
      </c>
      <c r="Q85" s="767"/>
      <c r="R85" s="765" t="s">
        <v>431</v>
      </c>
      <c r="S85" s="767"/>
      <c r="T85" s="765" t="s">
        <v>503</v>
      </c>
      <c r="U85" s="767"/>
      <c r="V85" s="765" t="s">
        <v>431</v>
      </c>
      <c r="W85" s="767"/>
      <c r="X85" s="765" t="s">
        <v>503</v>
      </c>
      <c r="Y85" s="767"/>
      <c r="Z85" s="765" t="s">
        <v>431</v>
      </c>
      <c r="AA85" s="767"/>
      <c r="AB85" s="765" t="s">
        <v>503</v>
      </c>
      <c r="AC85" s="767"/>
      <c r="AD85" s="765" t="s">
        <v>431</v>
      </c>
      <c r="AE85" s="767"/>
      <c r="AF85" s="765" t="s">
        <v>503</v>
      </c>
      <c r="AG85" s="766"/>
      <c r="AH85" s="766"/>
      <c r="AI85" s="767"/>
    </row>
    <row r="86" spans="1:35" s="605" customFormat="1" ht="16.5" hidden="1" customHeight="1">
      <c r="A86" s="836"/>
      <c r="B86" s="758" t="s">
        <v>37</v>
      </c>
      <c r="C86" s="758" t="s">
        <v>38</v>
      </c>
      <c r="D86" s="758" t="s">
        <v>39</v>
      </c>
      <c r="E86" s="758" t="s">
        <v>38</v>
      </c>
      <c r="F86" s="758" t="s">
        <v>40</v>
      </c>
      <c r="G86" s="758" t="s">
        <v>38</v>
      </c>
      <c r="H86" s="758" t="s">
        <v>39</v>
      </c>
      <c r="I86" s="758" t="s">
        <v>38</v>
      </c>
      <c r="J86" s="758" t="s">
        <v>37</v>
      </c>
      <c r="K86" s="758" t="s">
        <v>38</v>
      </c>
      <c r="L86" s="758" t="s">
        <v>39</v>
      </c>
      <c r="M86" s="758" t="s">
        <v>38</v>
      </c>
      <c r="N86" s="758" t="s">
        <v>37</v>
      </c>
      <c r="O86" s="758" t="s">
        <v>38</v>
      </c>
      <c r="P86" s="758" t="s">
        <v>39</v>
      </c>
      <c r="Q86" s="758" t="s">
        <v>38</v>
      </c>
      <c r="R86" s="758" t="s">
        <v>37</v>
      </c>
      <c r="S86" s="758" t="s">
        <v>38</v>
      </c>
      <c r="T86" s="758" t="s">
        <v>39</v>
      </c>
      <c r="U86" s="758" t="s">
        <v>38</v>
      </c>
      <c r="V86" s="758" t="s">
        <v>37</v>
      </c>
      <c r="W86" s="758" t="s">
        <v>38</v>
      </c>
      <c r="X86" s="758" t="s">
        <v>41</v>
      </c>
      <c r="Y86" s="758" t="s">
        <v>38</v>
      </c>
      <c r="Z86" s="758" t="s">
        <v>37</v>
      </c>
      <c r="AA86" s="758" t="s">
        <v>38</v>
      </c>
      <c r="AB86" s="758" t="s">
        <v>39</v>
      </c>
      <c r="AC86" s="758" t="s">
        <v>38</v>
      </c>
      <c r="AD86" s="758" t="s">
        <v>37</v>
      </c>
      <c r="AE86" s="758" t="s">
        <v>38</v>
      </c>
      <c r="AF86" s="772" t="s">
        <v>39</v>
      </c>
      <c r="AG86" s="27"/>
      <c r="AH86" s="772" t="s">
        <v>38</v>
      </c>
      <c r="AI86" s="27"/>
    </row>
    <row r="87" spans="1:35" s="605" customFormat="1" ht="16.5" hidden="1" customHeight="1" thickBot="1">
      <c r="A87" s="835"/>
      <c r="B87" s="835"/>
      <c r="C87" s="835"/>
      <c r="D87" s="835"/>
      <c r="E87" s="835"/>
      <c r="F87" s="835"/>
      <c r="G87" s="835"/>
      <c r="H87" s="835"/>
      <c r="I87" s="835"/>
      <c r="J87" s="835"/>
      <c r="K87" s="835"/>
      <c r="L87" s="835"/>
      <c r="M87" s="835"/>
      <c r="N87" s="835"/>
      <c r="O87" s="835"/>
      <c r="P87" s="835"/>
      <c r="Q87" s="835"/>
      <c r="R87" s="835"/>
      <c r="S87" s="835"/>
      <c r="T87" s="835"/>
      <c r="U87" s="835"/>
      <c r="V87" s="835"/>
      <c r="W87" s="835"/>
      <c r="X87" s="835"/>
      <c r="Y87" s="835"/>
      <c r="Z87" s="835"/>
      <c r="AA87" s="835"/>
      <c r="AB87" s="835"/>
      <c r="AC87" s="835"/>
      <c r="AD87" s="835"/>
      <c r="AE87" s="835"/>
      <c r="AF87" s="834"/>
      <c r="AG87" s="28" t="s">
        <v>42</v>
      </c>
      <c r="AH87" s="834"/>
      <c r="AI87" s="28" t="s">
        <v>42</v>
      </c>
    </row>
    <row r="88" spans="1:35" s="605" customFormat="1" ht="19.5" hidden="1" customHeight="1" thickTop="1">
      <c r="A88" s="610" t="s">
        <v>43</v>
      </c>
      <c r="B88" s="32">
        <v>18227</v>
      </c>
      <c r="C88" s="32">
        <v>115447</v>
      </c>
      <c r="D88" s="32">
        <v>18189</v>
      </c>
      <c r="E88" s="32">
        <v>151175</v>
      </c>
      <c r="F88" s="32">
        <v>0</v>
      </c>
      <c r="G88" s="32">
        <v>0</v>
      </c>
      <c r="H88" s="32">
        <v>0</v>
      </c>
      <c r="I88" s="32">
        <v>0</v>
      </c>
      <c r="J88" s="32">
        <v>81653</v>
      </c>
      <c r="K88" s="32">
        <v>258990</v>
      </c>
      <c r="L88" s="32">
        <v>98281</v>
      </c>
      <c r="M88" s="32">
        <v>337238</v>
      </c>
      <c r="N88" s="32">
        <v>416</v>
      </c>
      <c r="O88" s="32">
        <v>922</v>
      </c>
      <c r="P88" s="32">
        <v>18</v>
      </c>
      <c r="Q88" s="32">
        <v>150</v>
      </c>
      <c r="R88" s="32">
        <v>76</v>
      </c>
      <c r="S88" s="32">
        <v>962</v>
      </c>
      <c r="T88" s="32">
        <v>71</v>
      </c>
      <c r="U88" s="32">
        <v>847</v>
      </c>
      <c r="V88" s="32">
        <v>146</v>
      </c>
      <c r="W88" s="32">
        <v>2202</v>
      </c>
      <c r="X88" s="32">
        <v>601</v>
      </c>
      <c r="Y88" s="32">
        <v>14242</v>
      </c>
      <c r="Z88" s="32">
        <v>30255</v>
      </c>
      <c r="AA88" s="32">
        <v>102881</v>
      </c>
      <c r="AB88" s="32">
        <v>32210</v>
      </c>
      <c r="AC88" s="32">
        <v>132891</v>
      </c>
      <c r="AD88" s="32">
        <f>SUM(B88+F88+J88+N88+R88+V88+Z88)</f>
        <v>130773</v>
      </c>
      <c r="AE88" s="32">
        <f>SUM(C88+G88+K88+O88+S88+W88+AA88)</f>
        <v>481404</v>
      </c>
      <c r="AF88" s="32">
        <f>SUM(D88+H88+L88+P88+T88+X88+AB88)</f>
        <v>149370</v>
      </c>
      <c r="AG88" s="37">
        <f>ROUND(((AF88/AD88-1)*100),1)</f>
        <v>14.2</v>
      </c>
      <c r="AH88" s="32">
        <f>SUM(E88+I88+M88+Q88+U88+Y88+AC88)</f>
        <v>636543</v>
      </c>
      <c r="AI88" s="37">
        <f>ROUND(((AH88/AE88-1)*100),1)</f>
        <v>32.200000000000003</v>
      </c>
    </row>
    <row r="89" spans="1:35" s="605" customFormat="1" ht="19.5" hidden="1" customHeight="1">
      <c r="A89" s="610" t="s">
        <v>45</v>
      </c>
      <c r="B89" s="32">
        <v>794</v>
      </c>
      <c r="C89" s="32">
        <v>2433</v>
      </c>
      <c r="D89" s="32">
        <v>3209</v>
      </c>
      <c r="E89" s="32">
        <v>9808</v>
      </c>
      <c r="F89" s="32">
        <v>43</v>
      </c>
      <c r="G89" s="32">
        <v>771</v>
      </c>
      <c r="H89" s="32">
        <v>19</v>
      </c>
      <c r="I89" s="32">
        <v>493</v>
      </c>
      <c r="J89" s="32">
        <v>115113</v>
      </c>
      <c r="K89" s="32">
        <v>208948</v>
      </c>
      <c r="L89" s="32">
        <v>149060</v>
      </c>
      <c r="M89" s="32">
        <v>329507</v>
      </c>
      <c r="N89" s="32">
        <v>13444</v>
      </c>
      <c r="O89" s="32">
        <v>28321</v>
      </c>
      <c r="P89" s="32">
        <v>19674</v>
      </c>
      <c r="Q89" s="32">
        <v>40457</v>
      </c>
      <c r="R89" s="32">
        <v>10426</v>
      </c>
      <c r="S89" s="32">
        <v>25693</v>
      </c>
      <c r="T89" s="32">
        <v>4754</v>
      </c>
      <c r="U89" s="32">
        <v>13419</v>
      </c>
      <c r="V89" s="32">
        <v>60</v>
      </c>
      <c r="W89" s="32">
        <v>606</v>
      </c>
      <c r="X89" s="32">
        <v>56</v>
      </c>
      <c r="Y89" s="32">
        <v>657</v>
      </c>
      <c r="Z89" s="32">
        <v>29</v>
      </c>
      <c r="AA89" s="32">
        <v>399</v>
      </c>
      <c r="AB89" s="32">
        <v>122</v>
      </c>
      <c r="AC89" s="32">
        <v>589</v>
      </c>
      <c r="AD89" s="32">
        <f>SUM(B89+F89+J89+N89+R89+V89+Z89)</f>
        <v>139909</v>
      </c>
      <c r="AE89" s="32">
        <f t="shared" ref="AE89:AE117" si="16">SUM(C89+G89+K89+O89+S89+W89+AA89)</f>
        <v>267171</v>
      </c>
      <c r="AF89" s="32">
        <f t="shared" ref="AF89:AF117" si="17">SUM(D89+H89+L89+P89+T89+X89+AB89)</f>
        <v>176894</v>
      </c>
      <c r="AG89" s="37">
        <f t="shared" ref="AG89:AG119" si="18">ROUND(((AF89/AD89-1)*100),1)</f>
        <v>26.4</v>
      </c>
      <c r="AH89" s="32">
        <f t="shared" ref="AH89:AH117" si="19">SUM(E89+I89+M89+Q89+U89+Y89+AC89)</f>
        <v>394930</v>
      </c>
      <c r="AI89" s="37">
        <f t="shared" ref="AI89:AI119" si="20">ROUND(((AH89/AE89-1)*100),1)</f>
        <v>47.8</v>
      </c>
    </row>
    <row r="90" spans="1:35" s="605" customFormat="1" ht="19.5" hidden="1" customHeight="1">
      <c r="A90" s="610" t="s">
        <v>54</v>
      </c>
      <c r="B90" s="32">
        <v>5271</v>
      </c>
      <c r="C90" s="32">
        <v>30101</v>
      </c>
      <c r="D90" s="32">
        <v>3498</v>
      </c>
      <c r="E90" s="32">
        <v>27122</v>
      </c>
      <c r="F90" s="32">
        <v>3758</v>
      </c>
      <c r="G90" s="32">
        <v>50418</v>
      </c>
      <c r="H90" s="32">
        <v>5335</v>
      </c>
      <c r="I90" s="32">
        <v>92611</v>
      </c>
      <c r="J90" s="32">
        <v>96815</v>
      </c>
      <c r="K90" s="32">
        <v>172388</v>
      </c>
      <c r="L90" s="32">
        <v>98627</v>
      </c>
      <c r="M90" s="32">
        <v>205372</v>
      </c>
      <c r="N90" s="32">
        <v>3972</v>
      </c>
      <c r="O90" s="32">
        <v>7133</v>
      </c>
      <c r="P90" s="32">
        <v>2055</v>
      </c>
      <c r="Q90" s="32">
        <v>3685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475</v>
      </c>
      <c r="AA90" s="32">
        <v>1523</v>
      </c>
      <c r="AB90" s="32">
        <v>630</v>
      </c>
      <c r="AC90" s="32">
        <v>889</v>
      </c>
      <c r="AD90" s="32">
        <f t="shared" ref="AD90:AD117" si="21">SUM(B90+F90+J90+N90+R90+V90+Z90)</f>
        <v>110291</v>
      </c>
      <c r="AE90" s="32">
        <f t="shared" si="16"/>
        <v>261563</v>
      </c>
      <c r="AF90" s="32">
        <f t="shared" si="17"/>
        <v>110145</v>
      </c>
      <c r="AG90" s="37">
        <f t="shared" si="18"/>
        <v>-0.1</v>
      </c>
      <c r="AH90" s="32">
        <f t="shared" si="19"/>
        <v>329679</v>
      </c>
      <c r="AI90" s="37">
        <f t="shared" si="20"/>
        <v>26</v>
      </c>
    </row>
    <row r="91" spans="1:35" s="605" customFormat="1" ht="19.5" hidden="1" customHeight="1">
      <c r="A91" s="610" t="s">
        <v>46</v>
      </c>
      <c r="B91" s="32">
        <v>26492</v>
      </c>
      <c r="C91" s="32">
        <v>147563</v>
      </c>
      <c r="D91" s="32">
        <v>17584</v>
      </c>
      <c r="E91" s="32">
        <v>129736</v>
      </c>
      <c r="F91" s="32">
        <v>806</v>
      </c>
      <c r="G91" s="32">
        <v>21739</v>
      </c>
      <c r="H91" s="32">
        <v>404</v>
      </c>
      <c r="I91" s="32">
        <v>18941</v>
      </c>
      <c r="J91" s="32">
        <v>76425</v>
      </c>
      <c r="K91" s="32">
        <v>147755</v>
      </c>
      <c r="L91" s="32">
        <v>63619</v>
      </c>
      <c r="M91" s="32">
        <v>138138</v>
      </c>
      <c r="N91" s="32">
        <v>332</v>
      </c>
      <c r="O91" s="32">
        <v>666</v>
      </c>
      <c r="P91" s="32">
        <v>322</v>
      </c>
      <c r="Q91" s="32">
        <v>665</v>
      </c>
      <c r="R91" s="32">
        <v>96</v>
      </c>
      <c r="S91" s="32">
        <v>201</v>
      </c>
      <c r="T91" s="32">
        <v>19</v>
      </c>
      <c r="U91" s="32">
        <v>76</v>
      </c>
      <c r="V91" s="32">
        <v>2</v>
      </c>
      <c r="W91" s="32">
        <v>124</v>
      </c>
      <c r="X91" s="32">
        <v>1</v>
      </c>
      <c r="Y91" s="32">
        <v>35</v>
      </c>
      <c r="Z91" s="32">
        <v>685</v>
      </c>
      <c r="AA91" s="32">
        <v>60270</v>
      </c>
      <c r="AB91" s="32">
        <v>413</v>
      </c>
      <c r="AC91" s="32">
        <v>45378</v>
      </c>
      <c r="AD91" s="32">
        <f t="shared" si="21"/>
        <v>104838</v>
      </c>
      <c r="AE91" s="32">
        <f t="shared" si="16"/>
        <v>378318</v>
      </c>
      <c r="AF91" s="32">
        <f t="shared" si="17"/>
        <v>82362</v>
      </c>
      <c r="AG91" s="37">
        <f t="shared" si="18"/>
        <v>-21.4</v>
      </c>
      <c r="AH91" s="32">
        <f t="shared" si="19"/>
        <v>332969</v>
      </c>
      <c r="AI91" s="37">
        <f t="shared" si="20"/>
        <v>-12</v>
      </c>
    </row>
    <row r="92" spans="1:35" s="605" customFormat="1" ht="19.5" hidden="1" customHeight="1">
      <c r="A92" s="610" t="s">
        <v>47</v>
      </c>
      <c r="B92" s="32">
        <v>12291</v>
      </c>
      <c r="C92" s="32">
        <v>140256</v>
      </c>
      <c r="D92" s="32">
        <v>10658</v>
      </c>
      <c r="E92" s="32">
        <v>173189</v>
      </c>
      <c r="F92" s="32">
        <v>0</v>
      </c>
      <c r="G92" s="32">
        <v>0</v>
      </c>
      <c r="H92" s="32">
        <v>0</v>
      </c>
      <c r="I92" s="32">
        <v>0</v>
      </c>
      <c r="J92" s="32">
        <v>35243</v>
      </c>
      <c r="K92" s="32">
        <v>80541</v>
      </c>
      <c r="L92" s="32">
        <v>33421</v>
      </c>
      <c r="M92" s="32">
        <v>114976</v>
      </c>
      <c r="N92" s="32">
        <v>1617</v>
      </c>
      <c r="O92" s="32">
        <v>3214</v>
      </c>
      <c r="P92" s="32">
        <v>1581</v>
      </c>
      <c r="Q92" s="32">
        <v>3282</v>
      </c>
      <c r="R92" s="32">
        <v>144</v>
      </c>
      <c r="S92" s="32">
        <v>243</v>
      </c>
      <c r="T92" s="32">
        <v>151</v>
      </c>
      <c r="U92" s="32">
        <v>333</v>
      </c>
      <c r="V92" s="32">
        <v>48</v>
      </c>
      <c r="W92" s="32">
        <v>3449</v>
      </c>
      <c r="X92" s="32">
        <v>62</v>
      </c>
      <c r="Y92" s="32">
        <v>2946</v>
      </c>
      <c r="Z92" s="32">
        <v>798</v>
      </c>
      <c r="AA92" s="32">
        <v>24869</v>
      </c>
      <c r="AB92" s="32">
        <v>1427</v>
      </c>
      <c r="AC92" s="32">
        <v>36192</v>
      </c>
      <c r="AD92" s="32">
        <f t="shared" si="21"/>
        <v>50141</v>
      </c>
      <c r="AE92" s="32">
        <f t="shared" si="16"/>
        <v>252572</v>
      </c>
      <c r="AF92" s="32">
        <f t="shared" si="17"/>
        <v>47300</v>
      </c>
      <c r="AG92" s="37">
        <f t="shared" si="18"/>
        <v>-5.7</v>
      </c>
      <c r="AH92" s="32">
        <f t="shared" si="19"/>
        <v>330918</v>
      </c>
      <c r="AI92" s="37">
        <f t="shared" si="20"/>
        <v>31</v>
      </c>
    </row>
    <row r="93" spans="1:35" s="605" customFormat="1" ht="19.5" hidden="1" customHeight="1">
      <c r="A93" s="610" t="s">
        <v>77</v>
      </c>
      <c r="B93" s="32">
        <v>43703</v>
      </c>
      <c r="C93" s="32">
        <v>246094</v>
      </c>
      <c r="D93" s="32">
        <v>68045</v>
      </c>
      <c r="E93" s="32">
        <v>529459</v>
      </c>
      <c r="F93" s="32">
        <v>0</v>
      </c>
      <c r="G93" s="32">
        <v>0</v>
      </c>
      <c r="H93" s="32">
        <v>0</v>
      </c>
      <c r="I93" s="32">
        <v>0</v>
      </c>
      <c r="J93" s="32">
        <v>770</v>
      </c>
      <c r="K93" s="32">
        <v>841</v>
      </c>
      <c r="L93" s="32">
        <v>421</v>
      </c>
      <c r="M93" s="32">
        <v>573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f t="shared" si="21"/>
        <v>44473</v>
      </c>
      <c r="AE93" s="32">
        <f t="shared" si="16"/>
        <v>246935</v>
      </c>
      <c r="AF93" s="32">
        <f t="shared" si="17"/>
        <v>68466</v>
      </c>
      <c r="AG93" s="37">
        <f t="shared" si="18"/>
        <v>53.9</v>
      </c>
      <c r="AH93" s="32">
        <f t="shared" si="19"/>
        <v>530032</v>
      </c>
      <c r="AI93" s="37">
        <f t="shared" si="20"/>
        <v>114.6</v>
      </c>
    </row>
    <row r="94" spans="1:35" s="605" customFormat="1" ht="19.5" hidden="1" customHeight="1">
      <c r="A94" s="610" t="s">
        <v>49</v>
      </c>
      <c r="B94" s="32">
        <v>8551</v>
      </c>
      <c r="C94" s="32">
        <v>50189</v>
      </c>
      <c r="D94" s="32">
        <v>9348</v>
      </c>
      <c r="E94" s="32">
        <v>61539</v>
      </c>
      <c r="F94" s="32">
        <v>2</v>
      </c>
      <c r="G94" s="32">
        <v>20</v>
      </c>
      <c r="H94" s="32">
        <v>62</v>
      </c>
      <c r="I94" s="32">
        <v>187</v>
      </c>
      <c r="J94" s="32">
        <v>43339</v>
      </c>
      <c r="K94" s="32">
        <v>78076</v>
      </c>
      <c r="L94" s="32">
        <v>31828</v>
      </c>
      <c r="M94" s="32">
        <v>67174</v>
      </c>
      <c r="N94" s="32">
        <v>70</v>
      </c>
      <c r="O94" s="32">
        <v>126</v>
      </c>
      <c r="P94" s="32">
        <v>0</v>
      </c>
      <c r="Q94" s="32">
        <v>0</v>
      </c>
      <c r="R94" s="32">
        <v>111</v>
      </c>
      <c r="S94" s="32">
        <v>307</v>
      </c>
      <c r="T94" s="32">
        <v>114</v>
      </c>
      <c r="U94" s="32">
        <v>414</v>
      </c>
      <c r="V94" s="32">
        <v>376</v>
      </c>
      <c r="W94" s="32">
        <v>6422</v>
      </c>
      <c r="X94" s="32">
        <v>575</v>
      </c>
      <c r="Y94" s="32">
        <v>11891</v>
      </c>
      <c r="Z94" s="32">
        <v>185</v>
      </c>
      <c r="AA94" s="32">
        <v>372</v>
      </c>
      <c r="AB94" s="32">
        <v>51</v>
      </c>
      <c r="AC94" s="32">
        <v>87</v>
      </c>
      <c r="AD94" s="32">
        <f t="shared" si="21"/>
        <v>52634</v>
      </c>
      <c r="AE94" s="32">
        <f t="shared" si="16"/>
        <v>135512</v>
      </c>
      <c r="AF94" s="32">
        <f t="shared" si="17"/>
        <v>41978</v>
      </c>
      <c r="AG94" s="37">
        <f t="shared" si="18"/>
        <v>-20.2</v>
      </c>
      <c r="AH94" s="32">
        <f t="shared" si="19"/>
        <v>141292</v>
      </c>
      <c r="AI94" s="37">
        <f t="shared" si="20"/>
        <v>4.3</v>
      </c>
    </row>
    <row r="95" spans="1:35" s="605" customFormat="1" ht="19.5" hidden="1" customHeight="1">
      <c r="A95" s="610" t="s">
        <v>57</v>
      </c>
      <c r="B95" s="32">
        <v>2212</v>
      </c>
      <c r="C95" s="32">
        <v>11936</v>
      </c>
      <c r="D95" s="32">
        <v>3240</v>
      </c>
      <c r="E95" s="32">
        <v>22891</v>
      </c>
      <c r="F95" s="32">
        <v>0</v>
      </c>
      <c r="G95" s="32">
        <v>0</v>
      </c>
      <c r="H95" s="32">
        <v>0</v>
      </c>
      <c r="I95" s="32">
        <v>0</v>
      </c>
      <c r="J95" s="32">
        <v>30290</v>
      </c>
      <c r="K95" s="32">
        <v>52932</v>
      </c>
      <c r="L95" s="32">
        <v>41057</v>
      </c>
      <c r="M95" s="32">
        <v>81313</v>
      </c>
      <c r="N95" s="32">
        <v>4341</v>
      </c>
      <c r="O95" s="32">
        <v>8879</v>
      </c>
      <c r="P95" s="32">
        <v>1593</v>
      </c>
      <c r="Q95" s="32">
        <v>3237</v>
      </c>
      <c r="R95" s="32">
        <v>0</v>
      </c>
      <c r="S95" s="32">
        <v>0</v>
      </c>
      <c r="T95" s="32">
        <v>1</v>
      </c>
      <c r="U95" s="32">
        <v>3</v>
      </c>
      <c r="V95" s="32">
        <v>0</v>
      </c>
      <c r="W95" s="32">
        <v>0</v>
      </c>
      <c r="X95" s="32">
        <v>0</v>
      </c>
      <c r="Y95" s="32">
        <v>0</v>
      </c>
      <c r="Z95" s="32">
        <v>32</v>
      </c>
      <c r="AA95" s="32">
        <v>138</v>
      </c>
      <c r="AB95" s="32">
        <v>46</v>
      </c>
      <c r="AC95" s="32">
        <v>152</v>
      </c>
      <c r="AD95" s="32">
        <f t="shared" si="21"/>
        <v>36875</v>
      </c>
      <c r="AE95" s="32">
        <f t="shared" si="16"/>
        <v>73885</v>
      </c>
      <c r="AF95" s="32">
        <f t="shared" si="17"/>
        <v>45937</v>
      </c>
      <c r="AG95" s="37">
        <f t="shared" si="18"/>
        <v>24.6</v>
      </c>
      <c r="AH95" s="32">
        <f t="shared" si="19"/>
        <v>107596</v>
      </c>
      <c r="AI95" s="37">
        <f t="shared" si="20"/>
        <v>45.6</v>
      </c>
    </row>
    <row r="96" spans="1:35" s="605" customFormat="1" ht="19.5" hidden="1" customHeight="1">
      <c r="A96" s="610" t="s">
        <v>79</v>
      </c>
      <c r="B96" s="32">
        <v>498</v>
      </c>
      <c r="C96" s="32">
        <v>2097</v>
      </c>
      <c r="D96" s="32">
        <v>11</v>
      </c>
      <c r="E96" s="32">
        <v>98</v>
      </c>
      <c r="F96" s="32">
        <v>21</v>
      </c>
      <c r="G96" s="32">
        <v>458</v>
      </c>
      <c r="H96" s="32">
        <v>11</v>
      </c>
      <c r="I96" s="32">
        <v>271</v>
      </c>
      <c r="J96" s="32">
        <v>28235</v>
      </c>
      <c r="K96" s="32">
        <v>53709</v>
      </c>
      <c r="L96" s="32">
        <v>30878</v>
      </c>
      <c r="M96" s="32">
        <v>68510</v>
      </c>
      <c r="N96" s="32">
        <v>349</v>
      </c>
      <c r="O96" s="32">
        <v>784</v>
      </c>
      <c r="P96" s="32">
        <v>1816</v>
      </c>
      <c r="Q96" s="32">
        <v>3610</v>
      </c>
      <c r="R96" s="32">
        <v>0</v>
      </c>
      <c r="S96" s="32">
        <v>0</v>
      </c>
      <c r="T96" s="32">
        <v>0</v>
      </c>
      <c r="U96" s="32">
        <v>0</v>
      </c>
      <c r="V96" s="32">
        <v>1</v>
      </c>
      <c r="W96" s="32">
        <v>56</v>
      </c>
      <c r="X96" s="32">
        <v>1</v>
      </c>
      <c r="Y96" s="32">
        <v>84</v>
      </c>
      <c r="Z96" s="32">
        <v>1029</v>
      </c>
      <c r="AA96" s="32">
        <v>7875</v>
      </c>
      <c r="AB96" s="32">
        <v>785</v>
      </c>
      <c r="AC96" s="32">
        <v>5576</v>
      </c>
      <c r="AD96" s="32">
        <f t="shared" si="21"/>
        <v>30133</v>
      </c>
      <c r="AE96" s="32">
        <f t="shared" si="16"/>
        <v>64979</v>
      </c>
      <c r="AF96" s="32">
        <f t="shared" si="17"/>
        <v>33502</v>
      </c>
      <c r="AG96" s="37">
        <f t="shared" si="18"/>
        <v>11.2</v>
      </c>
      <c r="AH96" s="32">
        <f t="shared" si="19"/>
        <v>78149</v>
      </c>
      <c r="AI96" s="37">
        <f t="shared" si="20"/>
        <v>20.3</v>
      </c>
    </row>
    <row r="97" spans="1:35" s="605" customFormat="1" ht="19.5" hidden="1" customHeight="1">
      <c r="A97" s="610" t="s">
        <v>48</v>
      </c>
      <c r="B97" s="32">
        <v>3923</v>
      </c>
      <c r="C97" s="32">
        <v>21808</v>
      </c>
      <c r="D97" s="32">
        <v>4421</v>
      </c>
      <c r="E97" s="32">
        <v>31360</v>
      </c>
      <c r="F97" s="32">
        <v>0</v>
      </c>
      <c r="G97" s="32">
        <v>0</v>
      </c>
      <c r="H97" s="32">
        <v>0</v>
      </c>
      <c r="I97" s="32">
        <v>0</v>
      </c>
      <c r="J97" s="32">
        <v>26231</v>
      </c>
      <c r="K97" s="32">
        <v>42259</v>
      </c>
      <c r="L97" s="32">
        <v>20714</v>
      </c>
      <c r="M97" s="32">
        <v>35663</v>
      </c>
      <c r="N97" s="32">
        <v>44</v>
      </c>
      <c r="O97" s="32">
        <v>78</v>
      </c>
      <c r="P97" s="32">
        <v>420</v>
      </c>
      <c r="Q97" s="32">
        <v>833</v>
      </c>
      <c r="R97" s="32">
        <v>0</v>
      </c>
      <c r="S97" s="32">
        <v>0</v>
      </c>
      <c r="T97" s="32">
        <v>0</v>
      </c>
      <c r="U97" s="32">
        <v>0</v>
      </c>
      <c r="V97" s="32">
        <v>433</v>
      </c>
      <c r="W97" s="32">
        <v>8599</v>
      </c>
      <c r="X97" s="32">
        <v>427</v>
      </c>
      <c r="Y97" s="32">
        <v>11189</v>
      </c>
      <c r="Z97" s="32">
        <v>0</v>
      </c>
      <c r="AA97" s="32">
        <v>3</v>
      </c>
      <c r="AB97" s="32">
        <v>113</v>
      </c>
      <c r="AC97" s="32">
        <v>927</v>
      </c>
      <c r="AD97" s="32">
        <f t="shared" si="21"/>
        <v>30631</v>
      </c>
      <c r="AE97" s="32">
        <f t="shared" si="16"/>
        <v>72747</v>
      </c>
      <c r="AF97" s="32">
        <f t="shared" si="17"/>
        <v>26095</v>
      </c>
      <c r="AG97" s="37">
        <f t="shared" si="18"/>
        <v>-14.8</v>
      </c>
      <c r="AH97" s="32">
        <f t="shared" si="19"/>
        <v>79972</v>
      </c>
      <c r="AI97" s="37">
        <f t="shared" si="20"/>
        <v>9.9</v>
      </c>
    </row>
    <row r="98" spans="1:35" s="605" customFormat="1" ht="19.5" hidden="1" customHeight="1">
      <c r="A98" s="610" t="s">
        <v>56</v>
      </c>
      <c r="B98" s="32">
        <v>6430</v>
      </c>
      <c r="C98" s="32">
        <v>33644</v>
      </c>
      <c r="D98" s="32">
        <v>5455</v>
      </c>
      <c r="E98" s="32">
        <v>38796</v>
      </c>
      <c r="F98" s="32">
        <v>0</v>
      </c>
      <c r="G98" s="32">
        <v>0</v>
      </c>
      <c r="H98" s="32">
        <v>0</v>
      </c>
      <c r="I98" s="32">
        <v>0</v>
      </c>
      <c r="J98" s="32">
        <v>13155</v>
      </c>
      <c r="K98" s="32">
        <v>17562</v>
      </c>
      <c r="L98" s="32">
        <v>16315</v>
      </c>
      <c r="M98" s="32">
        <v>28494</v>
      </c>
      <c r="N98" s="32">
        <v>587</v>
      </c>
      <c r="O98" s="32">
        <v>1135</v>
      </c>
      <c r="P98" s="32">
        <v>3549</v>
      </c>
      <c r="Q98" s="32">
        <v>7082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f t="shared" si="21"/>
        <v>20172</v>
      </c>
      <c r="AE98" s="32">
        <f t="shared" si="16"/>
        <v>52341</v>
      </c>
      <c r="AF98" s="32">
        <f t="shared" si="17"/>
        <v>25319</v>
      </c>
      <c r="AG98" s="37">
        <f t="shared" si="18"/>
        <v>25.5</v>
      </c>
      <c r="AH98" s="32">
        <f t="shared" si="19"/>
        <v>74372</v>
      </c>
      <c r="AI98" s="37">
        <f t="shared" si="20"/>
        <v>42.1</v>
      </c>
    </row>
    <row r="99" spans="1:35" s="605" customFormat="1" ht="19.5" hidden="1" customHeight="1">
      <c r="A99" s="610" t="s">
        <v>44</v>
      </c>
      <c r="B99" s="32">
        <v>2295</v>
      </c>
      <c r="C99" s="32">
        <v>15487</v>
      </c>
      <c r="D99" s="32">
        <v>3405</v>
      </c>
      <c r="E99" s="32">
        <v>26366</v>
      </c>
      <c r="F99" s="32">
        <v>43</v>
      </c>
      <c r="G99" s="32">
        <v>81</v>
      </c>
      <c r="H99" s="32">
        <v>34</v>
      </c>
      <c r="I99" s="32">
        <v>161</v>
      </c>
      <c r="J99" s="32">
        <v>17678</v>
      </c>
      <c r="K99" s="32">
        <v>44480</v>
      </c>
      <c r="L99" s="32">
        <v>13806</v>
      </c>
      <c r="M99" s="32">
        <v>42978</v>
      </c>
      <c r="N99" s="32">
        <v>4</v>
      </c>
      <c r="O99" s="32">
        <v>1</v>
      </c>
      <c r="P99" s="32">
        <v>22</v>
      </c>
      <c r="Q99" s="32">
        <v>332</v>
      </c>
      <c r="R99" s="32">
        <v>1068</v>
      </c>
      <c r="S99" s="32">
        <v>2122</v>
      </c>
      <c r="T99" s="32">
        <v>302</v>
      </c>
      <c r="U99" s="32">
        <v>673</v>
      </c>
      <c r="V99" s="32">
        <v>1</v>
      </c>
      <c r="W99" s="32">
        <v>20</v>
      </c>
      <c r="X99" s="32">
        <v>0</v>
      </c>
      <c r="Y99" s="32">
        <v>0</v>
      </c>
      <c r="Z99" s="32">
        <v>76</v>
      </c>
      <c r="AA99" s="32">
        <v>1612</v>
      </c>
      <c r="AB99" s="32">
        <v>819</v>
      </c>
      <c r="AC99" s="32">
        <v>6845</v>
      </c>
      <c r="AD99" s="32">
        <f t="shared" si="21"/>
        <v>21165</v>
      </c>
      <c r="AE99" s="32">
        <f t="shared" si="16"/>
        <v>63803</v>
      </c>
      <c r="AF99" s="32">
        <f t="shared" si="17"/>
        <v>18388</v>
      </c>
      <c r="AG99" s="37">
        <f t="shared" si="18"/>
        <v>-13.1</v>
      </c>
      <c r="AH99" s="32">
        <f t="shared" si="19"/>
        <v>77355</v>
      </c>
      <c r="AI99" s="37">
        <f t="shared" si="20"/>
        <v>21.2</v>
      </c>
    </row>
    <row r="100" spans="1:35" s="605" customFormat="1" ht="19.5" hidden="1" customHeight="1">
      <c r="A100" s="610" t="s">
        <v>80</v>
      </c>
      <c r="B100" s="32">
        <v>801</v>
      </c>
      <c r="C100" s="32">
        <v>4305</v>
      </c>
      <c r="D100" s="32">
        <v>20</v>
      </c>
      <c r="E100" s="32">
        <v>112</v>
      </c>
      <c r="F100" s="32">
        <v>0</v>
      </c>
      <c r="G100" s="32">
        <v>0</v>
      </c>
      <c r="H100" s="32">
        <v>0</v>
      </c>
      <c r="I100" s="32">
        <v>0</v>
      </c>
      <c r="J100" s="32">
        <v>19466</v>
      </c>
      <c r="K100" s="32">
        <v>37800</v>
      </c>
      <c r="L100" s="32">
        <v>23801</v>
      </c>
      <c r="M100" s="32">
        <v>52006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f t="shared" si="21"/>
        <v>20267</v>
      </c>
      <c r="AE100" s="32">
        <f t="shared" si="16"/>
        <v>42105</v>
      </c>
      <c r="AF100" s="32">
        <f t="shared" si="17"/>
        <v>23821</v>
      </c>
      <c r="AG100" s="37">
        <f t="shared" si="18"/>
        <v>17.5</v>
      </c>
      <c r="AH100" s="32">
        <f t="shared" si="19"/>
        <v>52118</v>
      </c>
      <c r="AI100" s="37">
        <f t="shared" si="20"/>
        <v>23.8</v>
      </c>
    </row>
    <row r="101" spans="1:35" s="605" customFormat="1" ht="19.5" hidden="1" customHeight="1">
      <c r="A101" s="610" t="s">
        <v>50</v>
      </c>
      <c r="B101" s="32">
        <v>7061</v>
      </c>
      <c r="C101" s="32">
        <v>55673</v>
      </c>
      <c r="D101" s="32">
        <v>9203</v>
      </c>
      <c r="E101" s="32">
        <v>77621</v>
      </c>
      <c r="F101" s="32">
        <v>1</v>
      </c>
      <c r="G101" s="32">
        <v>47</v>
      </c>
      <c r="H101" s="32">
        <v>6</v>
      </c>
      <c r="I101" s="32">
        <v>227</v>
      </c>
      <c r="J101" s="32">
        <v>8830</v>
      </c>
      <c r="K101" s="32">
        <v>16887</v>
      </c>
      <c r="L101" s="32">
        <v>13732</v>
      </c>
      <c r="M101" s="32">
        <v>26937</v>
      </c>
      <c r="N101" s="32">
        <v>0</v>
      </c>
      <c r="O101" s="32">
        <v>1</v>
      </c>
      <c r="P101" s="32">
        <v>326</v>
      </c>
      <c r="Q101" s="32">
        <v>654</v>
      </c>
      <c r="R101" s="32">
        <v>0</v>
      </c>
      <c r="S101" s="32">
        <v>5</v>
      </c>
      <c r="T101" s="32">
        <v>0</v>
      </c>
      <c r="U101" s="32">
        <v>7</v>
      </c>
      <c r="V101" s="32">
        <v>4</v>
      </c>
      <c r="W101" s="32">
        <v>108</v>
      </c>
      <c r="X101" s="32">
        <v>2</v>
      </c>
      <c r="Y101" s="32">
        <v>119</v>
      </c>
      <c r="Z101" s="32">
        <v>313</v>
      </c>
      <c r="AA101" s="32">
        <v>2740</v>
      </c>
      <c r="AB101" s="32">
        <v>828</v>
      </c>
      <c r="AC101" s="32">
        <v>4136</v>
      </c>
      <c r="AD101" s="32">
        <f t="shared" si="21"/>
        <v>16209</v>
      </c>
      <c r="AE101" s="32">
        <f t="shared" si="16"/>
        <v>75461</v>
      </c>
      <c r="AF101" s="32">
        <f t="shared" si="17"/>
        <v>24097</v>
      </c>
      <c r="AG101" s="37">
        <f t="shared" si="18"/>
        <v>48.7</v>
      </c>
      <c r="AH101" s="32">
        <f t="shared" si="19"/>
        <v>109701</v>
      </c>
      <c r="AI101" s="37">
        <f t="shared" si="20"/>
        <v>45.4</v>
      </c>
    </row>
    <row r="102" spans="1:35" s="605" customFormat="1" ht="19.5" hidden="1" customHeight="1">
      <c r="A102" s="610" t="s">
        <v>570</v>
      </c>
      <c r="B102" s="32">
        <v>14213</v>
      </c>
      <c r="C102" s="32">
        <v>82168</v>
      </c>
      <c r="D102" s="32">
        <v>23137</v>
      </c>
      <c r="E102" s="32">
        <v>186818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451</v>
      </c>
      <c r="AA102" s="32">
        <v>2667</v>
      </c>
      <c r="AB102" s="32">
        <v>474</v>
      </c>
      <c r="AC102" s="32">
        <v>3252</v>
      </c>
      <c r="AD102" s="32">
        <f t="shared" si="21"/>
        <v>14664</v>
      </c>
      <c r="AE102" s="32">
        <f t="shared" si="16"/>
        <v>84835</v>
      </c>
      <c r="AF102" s="32">
        <f t="shared" si="17"/>
        <v>23611</v>
      </c>
      <c r="AG102" s="37">
        <f t="shared" si="18"/>
        <v>61</v>
      </c>
      <c r="AH102" s="32">
        <f t="shared" si="19"/>
        <v>190070</v>
      </c>
      <c r="AI102" s="37">
        <f t="shared" si="20"/>
        <v>124</v>
      </c>
    </row>
    <row r="103" spans="1:35" s="605" customFormat="1" ht="19.5" hidden="1" customHeight="1">
      <c r="A103" s="610" t="s">
        <v>83</v>
      </c>
      <c r="B103" s="32">
        <v>384</v>
      </c>
      <c r="C103" s="32">
        <v>2093</v>
      </c>
      <c r="D103" s="32">
        <v>212</v>
      </c>
      <c r="E103" s="32">
        <v>1537</v>
      </c>
      <c r="F103" s="32">
        <v>0</v>
      </c>
      <c r="G103" s="32">
        <v>0</v>
      </c>
      <c r="H103" s="32">
        <v>0</v>
      </c>
      <c r="I103" s="32">
        <v>0</v>
      </c>
      <c r="J103" s="32">
        <v>11265</v>
      </c>
      <c r="K103" s="32">
        <v>21545</v>
      </c>
      <c r="L103" s="32">
        <v>15129</v>
      </c>
      <c r="M103" s="32">
        <v>33036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f t="shared" si="21"/>
        <v>11649</v>
      </c>
      <c r="AE103" s="32">
        <f t="shared" si="16"/>
        <v>23638</v>
      </c>
      <c r="AF103" s="32">
        <f t="shared" si="17"/>
        <v>15341</v>
      </c>
      <c r="AG103" s="37">
        <f t="shared" si="18"/>
        <v>31.7</v>
      </c>
      <c r="AH103" s="32">
        <f t="shared" si="19"/>
        <v>34573</v>
      </c>
      <c r="AI103" s="37">
        <f t="shared" si="20"/>
        <v>46.3</v>
      </c>
    </row>
    <row r="104" spans="1:35" s="605" customFormat="1" ht="19.5" hidden="1" customHeight="1">
      <c r="A104" s="610" t="s">
        <v>58</v>
      </c>
      <c r="B104" s="32">
        <v>4007</v>
      </c>
      <c r="C104" s="32">
        <v>13795</v>
      </c>
      <c r="D104" s="32">
        <v>4530</v>
      </c>
      <c r="E104" s="32">
        <v>36047</v>
      </c>
      <c r="F104" s="32">
        <v>5</v>
      </c>
      <c r="G104" s="32">
        <v>565</v>
      </c>
      <c r="H104" s="32">
        <v>1</v>
      </c>
      <c r="I104" s="32">
        <v>46</v>
      </c>
      <c r="J104" s="32">
        <v>10574</v>
      </c>
      <c r="K104" s="32">
        <v>13336</v>
      </c>
      <c r="L104" s="32">
        <v>8811</v>
      </c>
      <c r="M104" s="32">
        <v>13794</v>
      </c>
      <c r="N104" s="32">
        <v>0</v>
      </c>
      <c r="O104" s="32">
        <v>2</v>
      </c>
      <c r="P104" s="32">
        <v>2398</v>
      </c>
      <c r="Q104" s="32">
        <v>5161</v>
      </c>
      <c r="R104" s="32">
        <v>0</v>
      </c>
      <c r="S104" s="32">
        <v>0</v>
      </c>
      <c r="T104" s="32">
        <v>0</v>
      </c>
      <c r="U104" s="32">
        <v>1</v>
      </c>
      <c r="V104" s="32">
        <v>0</v>
      </c>
      <c r="W104" s="32">
        <v>0</v>
      </c>
      <c r="X104" s="32">
        <v>0</v>
      </c>
      <c r="Y104" s="32">
        <v>0</v>
      </c>
      <c r="Z104" s="32">
        <v>24</v>
      </c>
      <c r="AA104" s="32">
        <v>317</v>
      </c>
      <c r="AB104" s="32">
        <v>115</v>
      </c>
      <c r="AC104" s="32">
        <v>318</v>
      </c>
      <c r="AD104" s="32">
        <f t="shared" si="21"/>
        <v>14610</v>
      </c>
      <c r="AE104" s="32">
        <f t="shared" si="16"/>
        <v>28015</v>
      </c>
      <c r="AF104" s="32">
        <f t="shared" si="17"/>
        <v>15855</v>
      </c>
      <c r="AG104" s="37">
        <f t="shared" si="18"/>
        <v>8.5</v>
      </c>
      <c r="AH104" s="32">
        <f t="shared" si="19"/>
        <v>55367</v>
      </c>
      <c r="AI104" s="37">
        <f t="shared" si="20"/>
        <v>97.6</v>
      </c>
    </row>
    <row r="105" spans="1:35" s="605" customFormat="1" ht="19.5" hidden="1" customHeight="1">
      <c r="A105" s="610" t="s">
        <v>84</v>
      </c>
      <c r="B105" s="32">
        <v>275</v>
      </c>
      <c r="C105" s="32">
        <v>1482</v>
      </c>
      <c r="D105" s="32">
        <v>506</v>
      </c>
      <c r="E105" s="32">
        <v>3541</v>
      </c>
      <c r="F105" s="32">
        <v>0</v>
      </c>
      <c r="G105" s="32">
        <v>0</v>
      </c>
      <c r="H105" s="32">
        <v>0</v>
      </c>
      <c r="I105" s="32">
        <v>0</v>
      </c>
      <c r="J105" s="32">
        <v>16902</v>
      </c>
      <c r="K105" s="32">
        <v>32275</v>
      </c>
      <c r="L105" s="32">
        <v>20785</v>
      </c>
      <c r="M105" s="32">
        <v>43880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f t="shared" si="21"/>
        <v>17177</v>
      </c>
      <c r="AE105" s="32">
        <f t="shared" si="16"/>
        <v>33757</v>
      </c>
      <c r="AF105" s="32">
        <f t="shared" si="17"/>
        <v>21291</v>
      </c>
      <c r="AG105" s="37">
        <f t="shared" si="18"/>
        <v>24</v>
      </c>
      <c r="AH105" s="32">
        <f t="shared" si="19"/>
        <v>47421</v>
      </c>
      <c r="AI105" s="37">
        <f t="shared" si="20"/>
        <v>40.5</v>
      </c>
    </row>
    <row r="106" spans="1:35" s="605" customFormat="1" ht="19.5" hidden="1" customHeight="1">
      <c r="A106" s="610" t="s">
        <v>65</v>
      </c>
      <c r="B106" s="32">
        <v>1136</v>
      </c>
      <c r="C106" s="32">
        <v>5713</v>
      </c>
      <c r="D106" s="32">
        <v>1879</v>
      </c>
      <c r="E106" s="32">
        <v>10488</v>
      </c>
      <c r="F106" s="32">
        <v>1143</v>
      </c>
      <c r="G106" s="32">
        <v>16569</v>
      </c>
      <c r="H106" s="32">
        <v>1592</v>
      </c>
      <c r="I106" s="32">
        <v>25691</v>
      </c>
      <c r="J106" s="32">
        <v>4648</v>
      </c>
      <c r="K106" s="32">
        <v>7684</v>
      </c>
      <c r="L106" s="32">
        <v>10608</v>
      </c>
      <c r="M106" s="32">
        <v>14326</v>
      </c>
      <c r="N106" s="32">
        <v>0</v>
      </c>
      <c r="O106" s="32">
        <v>0</v>
      </c>
      <c r="P106" s="32">
        <v>95</v>
      </c>
      <c r="Q106" s="32">
        <v>186</v>
      </c>
      <c r="R106" s="32">
        <v>907</v>
      </c>
      <c r="S106" s="32">
        <v>1857</v>
      </c>
      <c r="T106" s="32">
        <v>3223</v>
      </c>
      <c r="U106" s="32">
        <v>9365</v>
      </c>
      <c r="V106" s="32">
        <v>0</v>
      </c>
      <c r="W106" s="32">
        <v>10</v>
      </c>
      <c r="X106" s="32">
        <v>1</v>
      </c>
      <c r="Y106" s="32">
        <v>47</v>
      </c>
      <c r="Z106" s="32">
        <v>39</v>
      </c>
      <c r="AA106" s="32">
        <v>1899</v>
      </c>
      <c r="AB106" s="32">
        <v>84</v>
      </c>
      <c r="AC106" s="32">
        <v>4576</v>
      </c>
      <c r="AD106" s="32">
        <f t="shared" si="21"/>
        <v>7873</v>
      </c>
      <c r="AE106" s="32">
        <f t="shared" si="16"/>
        <v>33732</v>
      </c>
      <c r="AF106" s="32">
        <f t="shared" si="17"/>
        <v>17482</v>
      </c>
      <c r="AG106" s="37">
        <f t="shared" si="18"/>
        <v>122.1</v>
      </c>
      <c r="AH106" s="32">
        <f t="shared" si="19"/>
        <v>64679</v>
      </c>
      <c r="AI106" s="37">
        <f t="shared" si="20"/>
        <v>91.7</v>
      </c>
    </row>
    <row r="107" spans="1:35" s="605" customFormat="1" ht="19.5" hidden="1" customHeight="1">
      <c r="A107" s="610" t="s">
        <v>52</v>
      </c>
      <c r="B107" s="32">
        <v>7132</v>
      </c>
      <c r="C107" s="32">
        <v>42131</v>
      </c>
      <c r="D107" s="32">
        <v>10721</v>
      </c>
      <c r="E107" s="32">
        <v>82687</v>
      </c>
      <c r="F107" s="32">
        <v>13</v>
      </c>
      <c r="G107" s="32">
        <v>11</v>
      </c>
      <c r="H107" s="32">
        <v>341</v>
      </c>
      <c r="I107" s="32">
        <v>339</v>
      </c>
      <c r="J107" s="32">
        <v>6649</v>
      </c>
      <c r="K107" s="32">
        <v>8008</v>
      </c>
      <c r="L107" s="32">
        <v>7397</v>
      </c>
      <c r="M107" s="32">
        <v>11757</v>
      </c>
      <c r="N107" s="32">
        <v>668</v>
      </c>
      <c r="O107" s="32">
        <v>1255</v>
      </c>
      <c r="P107" s="32">
        <v>400</v>
      </c>
      <c r="Q107" s="32">
        <v>788</v>
      </c>
      <c r="R107" s="32">
        <v>7</v>
      </c>
      <c r="S107" s="32">
        <v>15</v>
      </c>
      <c r="T107" s="32">
        <v>7</v>
      </c>
      <c r="U107" s="32">
        <v>17</v>
      </c>
      <c r="V107" s="32">
        <v>1</v>
      </c>
      <c r="W107" s="32">
        <v>22</v>
      </c>
      <c r="X107" s="32">
        <v>0</v>
      </c>
      <c r="Y107" s="32">
        <v>3</v>
      </c>
      <c r="Z107" s="32">
        <v>1</v>
      </c>
      <c r="AA107" s="32">
        <v>105</v>
      </c>
      <c r="AB107" s="32">
        <v>1</v>
      </c>
      <c r="AC107" s="32">
        <v>92</v>
      </c>
      <c r="AD107" s="32">
        <f t="shared" si="21"/>
        <v>14471</v>
      </c>
      <c r="AE107" s="32">
        <f t="shared" si="16"/>
        <v>51547</v>
      </c>
      <c r="AF107" s="32">
        <f t="shared" si="17"/>
        <v>18867</v>
      </c>
      <c r="AG107" s="37">
        <f t="shared" si="18"/>
        <v>30.4</v>
      </c>
      <c r="AH107" s="32">
        <f t="shared" si="19"/>
        <v>95683</v>
      </c>
      <c r="AI107" s="37">
        <f t="shared" si="20"/>
        <v>85.6</v>
      </c>
    </row>
    <row r="108" spans="1:35" s="605" customFormat="1" ht="19.5" hidden="1" customHeight="1">
      <c r="A108" s="610" t="s">
        <v>64</v>
      </c>
      <c r="B108" s="32">
        <v>1090</v>
      </c>
      <c r="C108" s="32">
        <v>6914</v>
      </c>
      <c r="D108" s="32">
        <v>887</v>
      </c>
      <c r="E108" s="32">
        <v>6555</v>
      </c>
      <c r="F108" s="32">
        <v>126</v>
      </c>
      <c r="G108" s="32">
        <v>3250</v>
      </c>
      <c r="H108" s="32">
        <v>123</v>
      </c>
      <c r="I108" s="32">
        <v>3014</v>
      </c>
      <c r="J108" s="32">
        <v>6099</v>
      </c>
      <c r="K108" s="32">
        <v>10270</v>
      </c>
      <c r="L108" s="32">
        <v>9094</v>
      </c>
      <c r="M108" s="32">
        <v>16357</v>
      </c>
      <c r="N108" s="32">
        <v>3</v>
      </c>
      <c r="O108" s="32">
        <v>22</v>
      </c>
      <c r="P108" s="32">
        <v>0</v>
      </c>
      <c r="Q108" s="32">
        <v>1</v>
      </c>
      <c r="R108" s="32">
        <v>1</v>
      </c>
      <c r="S108" s="32">
        <v>28</v>
      </c>
      <c r="T108" s="32">
        <v>1</v>
      </c>
      <c r="U108" s="32">
        <v>34</v>
      </c>
      <c r="V108" s="32">
        <v>6</v>
      </c>
      <c r="W108" s="32">
        <v>125</v>
      </c>
      <c r="X108" s="32">
        <v>4</v>
      </c>
      <c r="Y108" s="32">
        <v>96</v>
      </c>
      <c r="Z108" s="32">
        <v>247</v>
      </c>
      <c r="AA108" s="32">
        <v>3723</v>
      </c>
      <c r="AB108" s="32">
        <v>279</v>
      </c>
      <c r="AC108" s="32">
        <v>3002</v>
      </c>
      <c r="AD108" s="32">
        <f t="shared" si="21"/>
        <v>7572</v>
      </c>
      <c r="AE108" s="32">
        <f t="shared" si="16"/>
        <v>24332</v>
      </c>
      <c r="AF108" s="32">
        <f t="shared" si="17"/>
        <v>10388</v>
      </c>
      <c r="AG108" s="37">
        <f t="shared" si="18"/>
        <v>37.200000000000003</v>
      </c>
      <c r="AH108" s="32">
        <f t="shared" si="19"/>
        <v>29059</v>
      </c>
      <c r="AI108" s="37">
        <f t="shared" si="20"/>
        <v>19.399999999999999</v>
      </c>
    </row>
    <row r="109" spans="1:35" s="605" customFormat="1" ht="19.5" hidden="1" customHeight="1">
      <c r="A109" s="610" t="s">
        <v>51</v>
      </c>
      <c r="B109" s="32">
        <v>2957</v>
      </c>
      <c r="C109" s="32">
        <v>16066</v>
      </c>
      <c r="D109" s="32">
        <v>2461</v>
      </c>
      <c r="E109" s="32">
        <v>17661</v>
      </c>
      <c r="F109" s="32">
        <v>0</v>
      </c>
      <c r="G109" s="32">
        <v>2</v>
      </c>
      <c r="H109" s="32">
        <v>1203</v>
      </c>
      <c r="I109" s="32">
        <v>13792</v>
      </c>
      <c r="J109" s="32">
        <v>2635</v>
      </c>
      <c r="K109" s="32">
        <v>4211</v>
      </c>
      <c r="L109" s="32">
        <v>1549</v>
      </c>
      <c r="M109" s="32">
        <v>2633</v>
      </c>
      <c r="N109" s="32">
        <v>60</v>
      </c>
      <c r="O109" s="32">
        <v>548</v>
      </c>
      <c r="P109" s="32">
        <v>62</v>
      </c>
      <c r="Q109" s="32">
        <v>686</v>
      </c>
      <c r="R109" s="32">
        <v>0</v>
      </c>
      <c r="S109" s="32">
        <v>0</v>
      </c>
      <c r="T109" s="32">
        <v>80</v>
      </c>
      <c r="U109" s="32">
        <v>203</v>
      </c>
      <c r="V109" s="32">
        <v>2910</v>
      </c>
      <c r="W109" s="32">
        <v>49744</v>
      </c>
      <c r="X109" s="32">
        <v>1627</v>
      </c>
      <c r="Y109" s="32">
        <v>35625</v>
      </c>
      <c r="Z109" s="32">
        <v>0</v>
      </c>
      <c r="AA109" s="32">
        <v>0</v>
      </c>
      <c r="AB109" s="32">
        <v>76</v>
      </c>
      <c r="AC109" s="32">
        <v>102</v>
      </c>
      <c r="AD109" s="32">
        <f t="shared" si="21"/>
        <v>8562</v>
      </c>
      <c r="AE109" s="32">
        <f t="shared" si="16"/>
        <v>70571</v>
      </c>
      <c r="AF109" s="32">
        <f t="shared" si="17"/>
        <v>7058</v>
      </c>
      <c r="AG109" s="37">
        <f t="shared" si="18"/>
        <v>-17.600000000000001</v>
      </c>
      <c r="AH109" s="32">
        <f t="shared" si="19"/>
        <v>70702</v>
      </c>
      <c r="AI109" s="37">
        <f t="shared" si="20"/>
        <v>0.2</v>
      </c>
    </row>
    <row r="110" spans="1:35" s="605" customFormat="1" ht="19.5" hidden="1" customHeight="1">
      <c r="A110" s="610" t="s">
        <v>61</v>
      </c>
      <c r="B110" s="32">
        <v>2753</v>
      </c>
      <c r="C110" s="32">
        <v>19171</v>
      </c>
      <c r="D110" s="32">
        <v>2187</v>
      </c>
      <c r="E110" s="32">
        <v>18662</v>
      </c>
      <c r="F110" s="32">
        <v>193</v>
      </c>
      <c r="G110" s="32">
        <v>6518</v>
      </c>
      <c r="H110" s="32">
        <v>185</v>
      </c>
      <c r="I110" s="32">
        <v>6174</v>
      </c>
      <c r="J110" s="32">
        <v>5894</v>
      </c>
      <c r="K110" s="32">
        <v>35528</v>
      </c>
      <c r="L110" s="32">
        <v>5488</v>
      </c>
      <c r="M110" s="32">
        <v>25554</v>
      </c>
      <c r="N110" s="32">
        <v>59</v>
      </c>
      <c r="O110" s="32">
        <v>375</v>
      </c>
      <c r="P110" s="32">
        <v>83</v>
      </c>
      <c r="Q110" s="32">
        <v>315</v>
      </c>
      <c r="R110" s="32">
        <v>234</v>
      </c>
      <c r="S110" s="32">
        <v>987</v>
      </c>
      <c r="T110" s="32">
        <v>249</v>
      </c>
      <c r="U110" s="32">
        <v>1163</v>
      </c>
      <c r="V110" s="32">
        <v>8</v>
      </c>
      <c r="W110" s="32">
        <v>197</v>
      </c>
      <c r="X110" s="32">
        <v>4</v>
      </c>
      <c r="Y110" s="32">
        <v>102</v>
      </c>
      <c r="Z110" s="32">
        <v>253</v>
      </c>
      <c r="AA110" s="32">
        <v>6760</v>
      </c>
      <c r="AB110" s="32">
        <v>244</v>
      </c>
      <c r="AC110" s="32">
        <v>4737</v>
      </c>
      <c r="AD110" s="32">
        <f t="shared" si="21"/>
        <v>9394</v>
      </c>
      <c r="AE110" s="32">
        <f t="shared" si="16"/>
        <v>69536</v>
      </c>
      <c r="AF110" s="32">
        <f t="shared" si="17"/>
        <v>8440</v>
      </c>
      <c r="AG110" s="37">
        <f t="shared" si="18"/>
        <v>-10.199999999999999</v>
      </c>
      <c r="AH110" s="32">
        <f t="shared" si="19"/>
        <v>56707</v>
      </c>
      <c r="AI110" s="37">
        <f t="shared" si="20"/>
        <v>-18.399999999999999</v>
      </c>
    </row>
    <row r="111" spans="1:35" s="605" customFormat="1" ht="19.5" hidden="1" customHeight="1">
      <c r="A111" s="610" t="s">
        <v>53</v>
      </c>
      <c r="B111" s="32">
        <v>2992</v>
      </c>
      <c r="C111" s="32">
        <v>9035</v>
      </c>
      <c r="D111" s="32">
        <v>3439</v>
      </c>
      <c r="E111" s="32">
        <v>14113</v>
      </c>
      <c r="F111" s="32">
        <v>0</v>
      </c>
      <c r="G111" s="32">
        <v>4</v>
      </c>
      <c r="H111" s="32">
        <v>40</v>
      </c>
      <c r="I111" s="32">
        <v>211</v>
      </c>
      <c r="J111" s="32">
        <v>2600</v>
      </c>
      <c r="K111" s="32">
        <v>3393</v>
      </c>
      <c r="L111" s="32">
        <v>2929</v>
      </c>
      <c r="M111" s="32">
        <v>5152</v>
      </c>
      <c r="N111" s="32">
        <v>1</v>
      </c>
      <c r="O111" s="32">
        <v>1</v>
      </c>
      <c r="P111" s="32">
        <v>72</v>
      </c>
      <c r="Q111" s="32">
        <v>138</v>
      </c>
      <c r="R111" s="32">
        <v>0</v>
      </c>
      <c r="S111" s="32">
        <v>65</v>
      </c>
      <c r="T111" s="32">
        <v>0</v>
      </c>
      <c r="U111" s="32">
        <v>1</v>
      </c>
      <c r="V111" s="32">
        <v>0</v>
      </c>
      <c r="W111" s="32">
        <v>0</v>
      </c>
      <c r="X111" s="32">
        <v>0</v>
      </c>
      <c r="Y111" s="32">
        <v>2</v>
      </c>
      <c r="Z111" s="32">
        <v>30</v>
      </c>
      <c r="AA111" s="32">
        <v>228</v>
      </c>
      <c r="AB111" s="32">
        <v>1</v>
      </c>
      <c r="AC111" s="32">
        <v>120</v>
      </c>
      <c r="AD111" s="32">
        <f t="shared" si="21"/>
        <v>5623</v>
      </c>
      <c r="AE111" s="32">
        <f t="shared" si="16"/>
        <v>12726</v>
      </c>
      <c r="AF111" s="32">
        <f t="shared" si="17"/>
        <v>6481</v>
      </c>
      <c r="AG111" s="37">
        <f t="shared" si="18"/>
        <v>15.3</v>
      </c>
      <c r="AH111" s="32">
        <f t="shared" si="19"/>
        <v>19737</v>
      </c>
      <c r="AI111" s="37">
        <f t="shared" si="20"/>
        <v>55.1</v>
      </c>
    </row>
    <row r="112" spans="1:35" s="605" customFormat="1" ht="19.5" hidden="1" customHeight="1">
      <c r="A112" s="610" t="s">
        <v>85</v>
      </c>
      <c r="B112" s="32">
        <v>2414</v>
      </c>
      <c r="C112" s="32">
        <v>12347</v>
      </c>
      <c r="D112" s="32">
        <v>1797</v>
      </c>
      <c r="E112" s="32">
        <v>11623</v>
      </c>
      <c r="F112" s="32">
        <v>0</v>
      </c>
      <c r="G112" s="32">
        <v>13</v>
      </c>
      <c r="H112" s="32">
        <v>0</v>
      </c>
      <c r="I112" s="32">
        <v>0</v>
      </c>
      <c r="J112" s="32">
        <v>3483</v>
      </c>
      <c r="K112" s="32">
        <v>4625</v>
      </c>
      <c r="L112" s="32">
        <v>6984</v>
      </c>
      <c r="M112" s="32">
        <v>10598</v>
      </c>
      <c r="N112" s="32">
        <v>0</v>
      </c>
      <c r="O112" s="32">
        <v>2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4</v>
      </c>
      <c r="AA112" s="32">
        <v>5</v>
      </c>
      <c r="AB112" s="32">
        <v>0</v>
      </c>
      <c r="AC112" s="32">
        <v>3</v>
      </c>
      <c r="AD112" s="32">
        <f t="shared" si="21"/>
        <v>5901</v>
      </c>
      <c r="AE112" s="32">
        <f t="shared" si="16"/>
        <v>16992</v>
      </c>
      <c r="AF112" s="32">
        <f t="shared" si="17"/>
        <v>8781</v>
      </c>
      <c r="AG112" s="37">
        <f t="shared" si="18"/>
        <v>48.8</v>
      </c>
      <c r="AH112" s="32">
        <f t="shared" si="19"/>
        <v>22224</v>
      </c>
      <c r="AI112" s="37">
        <f t="shared" si="20"/>
        <v>30.8</v>
      </c>
    </row>
    <row r="113" spans="1:35" s="605" customFormat="1" ht="19.5" hidden="1" customHeight="1">
      <c r="A113" s="610" t="s">
        <v>81</v>
      </c>
      <c r="B113" s="32">
        <v>2969</v>
      </c>
      <c r="C113" s="32">
        <v>15060</v>
      </c>
      <c r="D113" s="32">
        <v>563</v>
      </c>
      <c r="E113" s="32">
        <v>3619</v>
      </c>
      <c r="F113" s="32">
        <v>0</v>
      </c>
      <c r="G113" s="32">
        <v>0</v>
      </c>
      <c r="H113" s="32">
        <v>0</v>
      </c>
      <c r="I113" s="32">
        <v>0</v>
      </c>
      <c r="J113" s="32">
        <v>631</v>
      </c>
      <c r="K113" s="32">
        <v>904</v>
      </c>
      <c r="L113" s="32">
        <v>0</v>
      </c>
      <c r="M113" s="32">
        <v>0</v>
      </c>
      <c r="N113" s="32">
        <v>2500</v>
      </c>
      <c r="O113" s="32">
        <v>4785</v>
      </c>
      <c r="P113" s="32">
        <v>1469</v>
      </c>
      <c r="Q113" s="32">
        <v>2913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f t="shared" si="21"/>
        <v>6100</v>
      </c>
      <c r="AE113" s="32">
        <f t="shared" si="16"/>
        <v>20749</v>
      </c>
      <c r="AF113" s="32">
        <f t="shared" si="17"/>
        <v>2032</v>
      </c>
      <c r="AG113" s="37">
        <f t="shared" si="18"/>
        <v>-66.7</v>
      </c>
      <c r="AH113" s="32">
        <f t="shared" si="19"/>
        <v>6532</v>
      </c>
      <c r="AI113" s="37">
        <f t="shared" si="20"/>
        <v>-68.5</v>
      </c>
    </row>
    <row r="114" spans="1:35" s="605" customFormat="1" ht="19.5" hidden="1" customHeight="1">
      <c r="A114" s="610" t="s">
        <v>82</v>
      </c>
      <c r="B114" s="32">
        <v>3944</v>
      </c>
      <c r="C114" s="32">
        <v>5748</v>
      </c>
      <c r="D114" s="32">
        <v>1865</v>
      </c>
      <c r="E114" s="32">
        <v>14318</v>
      </c>
      <c r="F114" s="32">
        <v>82</v>
      </c>
      <c r="G114" s="32">
        <v>1319</v>
      </c>
      <c r="H114" s="32">
        <v>60</v>
      </c>
      <c r="I114" s="32">
        <v>1106</v>
      </c>
      <c r="J114" s="32">
        <v>2942</v>
      </c>
      <c r="K114" s="32">
        <v>5114</v>
      </c>
      <c r="L114" s="32">
        <v>3759</v>
      </c>
      <c r="M114" s="32">
        <v>6120</v>
      </c>
      <c r="N114" s="32">
        <v>1</v>
      </c>
      <c r="O114" s="32">
        <v>1</v>
      </c>
      <c r="P114" s="32">
        <v>1</v>
      </c>
      <c r="Q114" s="32">
        <v>1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44</v>
      </c>
      <c r="AA114" s="32">
        <v>303</v>
      </c>
      <c r="AB114" s="32">
        <v>24</v>
      </c>
      <c r="AC114" s="32">
        <v>330</v>
      </c>
      <c r="AD114" s="32">
        <f t="shared" si="21"/>
        <v>7013</v>
      </c>
      <c r="AE114" s="32">
        <f t="shared" si="16"/>
        <v>12485</v>
      </c>
      <c r="AF114" s="32">
        <f t="shared" si="17"/>
        <v>5709</v>
      </c>
      <c r="AG114" s="37">
        <f t="shared" si="18"/>
        <v>-18.600000000000001</v>
      </c>
      <c r="AH114" s="32">
        <f t="shared" si="19"/>
        <v>21875</v>
      </c>
      <c r="AI114" s="37">
        <f t="shared" si="20"/>
        <v>75.2</v>
      </c>
    </row>
    <row r="115" spans="1:35" s="605" customFormat="1" ht="19.5" hidden="1" customHeight="1">
      <c r="A115" s="610" t="s">
        <v>505</v>
      </c>
      <c r="B115" s="32">
        <v>4119</v>
      </c>
      <c r="C115" s="32">
        <v>19801</v>
      </c>
      <c r="D115" s="32">
        <v>1889</v>
      </c>
      <c r="E115" s="32">
        <v>20945</v>
      </c>
      <c r="F115" s="32">
        <v>0</v>
      </c>
      <c r="G115" s="32">
        <v>0</v>
      </c>
      <c r="H115" s="32">
        <v>0</v>
      </c>
      <c r="I115" s="32">
        <v>0</v>
      </c>
      <c r="J115" s="32">
        <v>927</v>
      </c>
      <c r="K115" s="32">
        <v>918</v>
      </c>
      <c r="L115" s="32">
        <v>786</v>
      </c>
      <c r="M115" s="32">
        <v>1093</v>
      </c>
      <c r="N115" s="32">
        <v>0</v>
      </c>
      <c r="O115" s="32">
        <v>0</v>
      </c>
      <c r="P115" s="32">
        <v>63</v>
      </c>
      <c r="Q115" s="32">
        <v>147</v>
      </c>
      <c r="R115" s="32">
        <v>2264</v>
      </c>
      <c r="S115" s="32">
        <v>5240</v>
      </c>
      <c r="T115" s="32">
        <v>895</v>
      </c>
      <c r="U115" s="32">
        <v>2619</v>
      </c>
      <c r="V115" s="32">
        <v>11</v>
      </c>
      <c r="W115" s="32">
        <v>186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f t="shared" si="21"/>
        <v>7321</v>
      </c>
      <c r="AE115" s="32">
        <f t="shared" si="16"/>
        <v>26145</v>
      </c>
      <c r="AF115" s="32">
        <f t="shared" si="17"/>
        <v>3633</v>
      </c>
      <c r="AG115" s="37">
        <f t="shared" si="18"/>
        <v>-50.4</v>
      </c>
      <c r="AH115" s="32">
        <f t="shared" si="19"/>
        <v>24804</v>
      </c>
      <c r="AI115" s="37">
        <f t="shared" si="20"/>
        <v>-5.0999999999999996</v>
      </c>
    </row>
    <row r="116" spans="1:35" s="605" customFormat="1" ht="19.5" hidden="1" customHeight="1">
      <c r="A116" s="610" t="s">
        <v>506</v>
      </c>
      <c r="B116" s="32">
        <v>0</v>
      </c>
      <c r="C116" s="32">
        <v>0</v>
      </c>
      <c r="D116" s="32">
        <v>19</v>
      </c>
      <c r="E116" s="32">
        <v>131</v>
      </c>
      <c r="F116" s="32">
        <v>0</v>
      </c>
      <c r="G116" s="32">
        <v>0</v>
      </c>
      <c r="H116" s="32">
        <v>0</v>
      </c>
      <c r="I116" s="32">
        <v>0</v>
      </c>
      <c r="J116" s="32">
        <v>3687</v>
      </c>
      <c r="K116" s="32">
        <v>4638</v>
      </c>
      <c r="L116" s="32">
        <v>3322</v>
      </c>
      <c r="M116" s="32">
        <v>4499</v>
      </c>
      <c r="N116" s="32">
        <v>192</v>
      </c>
      <c r="O116" s="32">
        <v>418</v>
      </c>
      <c r="P116" s="32">
        <v>375</v>
      </c>
      <c r="Q116" s="32">
        <v>827</v>
      </c>
      <c r="R116" s="32">
        <v>0</v>
      </c>
      <c r="S116" s="32">
        <v>0</v>
      </c>
      <c r="T116" s="32">
        <v>590</v>
      </c>
      <c r="U116" s="32">
        <v>1678</v>
      </c>
      <c r="V116" s="32">
        <v>0</v>
      </c>
      <c r="W116" s="32">
        <v>0</v>
      </c>
      <c r="X116" s="32">
        <v>0</v>
      </c>
      <c r="Y116" s="32">
        <v>0</v>
      </c>
      <c r="Z116" s="32">
        <v>20</v>
      </c>
      <c r="AA116" s="32">
        <v>109</v>
      </c>
      <c r="AB116" s="32">
        <v>137</v>
      </c>
      <c r="AC116" s="32">
        <v>837</v>
      </c>
      <c r="AD116" s="32">
        <f t="shared" si="21"/>
        <v>3899</v>
      </c>
      <c r="AE116" s="32">
        <f t="shared" si="16"/>
        <v>5165</v>
      </c>
      <c r="AF116" s="32">
        <f t="shared" si="17"/>
        <v>4443</v>
      </c>
      <c r="AG116" s="37">
        <f t="shared" si="18"/>
        <v>14</v>
      </c>
      <c r="AH116" s="32">
        <f t="shared" si="19"/>
        <v>7972</v>
      </c>
      <c r="AI116" s="37">
        <f t="shared" si="20"/>
        <v>54.3</v>
      </c>
    </row>
    <row r="117" spans="1:35" s="605" customFormat="1" ht="19.5" hidden="1" customHeight="1">
      <c r="A117" s="610" t="s">
        <v>233</v>
      </c>
      <c r="B117" s="32">
        <v>1379</v>
      </c>
      <c r="C117" s="32">
        <v>3995</v>
      </c>
      <c r="D117" s="32">
        <v>907</v>
      </c>
      <c r="E117" s="32">
        <v>4489</v>
      </c>
      <c r="F117" s="32">
        <v>44</v>
      </c>
      <c r="G117" s="32">
        <v>1119</v>
      </c>
      <c r="H117" s="32">
        <v>353</v>
      </c>
      <c r="I117" s="32">
        <v>2781</v>
      </c>
      <c r="J117" s="32">
        <v>2493</v>
      </c>
      <c r="K117" s="32">
        <v>2857</v>
      </c>
      <c r="L117" s="32">
        <v>3693</v>
      </c>
      <c r="M117" s="32">
        <v>5475</v>
      </c>
      <c r="N117" s="32">
        <v>0</v>
      </c>
      <c r="O117" s="32">
        <v>0</v>
      </c>
      <c r="P117" s="32">
        <v>0</v>
      </c>
      <c r="Q117" s="32">
        <v>0</v>
      </c>
      <c r="R117" s="32">
        <v>88</v>
      </c>
      <c r="S117" s="32">
        <v>214</v>
      </c>
      <c r="T117" s="32">
        <v>18</v>
      </c>
      <c r="U117" s="32">
        <v>70</v>
      </c>
      <c r="V117" s="32">
        <v>150</v>
      </c>
      <c r="W117" s="32">
        <v>2601</v>
      </c>
      <c r="X117" s="32">
        <v>0</v>
      </c>
      <c r="Y117" s="32">
        <v>0</v>
      </c>
      <c r="Z117" s="32">
        <v>41</v>
      </c>
      <c r="AA117" s="32">
        <v>2148</v>
      </c>
      <c r="AB117" s="32">
        <v>33</v>
      </c>
      <c r="AC117" s="32">
        <v>1963</v>
      </c>
      <c r="AD117" s="32">
        <f t="shared" si="21"/>
        <v>4195</v>
      </c>
      <c r="AE117" s="32">
        <f t="shared" si="16"/>
        <v>12934</v>
      </c>
      <c r="AF117" s="32">
        <f t="shared" si="17"/>
        <v>5004</v>
      </c>
      <c r="AG117" s="37">
        <f t="shared" si="18"/>
        <v>19.3</v>
      </c>
      <c r="AH117" s="32">
        <f t="shared" si="19"/>
        <v>14778</v>
      </c>
      <c r="AI117" s="37">
        <f t="shared" si="20"/>
        <v>14.3</v>
      </c>
    </row>
    <row r="118" spans="1:35" s="605" customFormat="1" ht="19.5" hidden="1" customHeight="1">
      <c r="A118" s="30" t="s">
        <v>71</v>
      </c>
      <c r="B118" s="33">
        <f t="shared" ref="B118:M118" si="22">B119-SUM(B88:B117)</f>
        <v>32983</v>
      </c>
      <c r="C118" s="33">
        <f t="shared" si="22"/>
        <v>183018</v>
      </c>
      <c r="D118" s="33">
        <f t="shared" si="22"/>
        <v>25273</v>
      </c>
      <c r="E118" s="33">
        <f t="shared" si="22"/>
        <v>181143</v>
      </c>
      <c r="F118" s="33">
        <f t="shared" si="22"/>
        <v>8319</v>
      </c>
      <c r="G118" s="33">
        <f t="shared" si="22"/>
        <v>154306</v>
      </c>
      <c r="H118" s="33">
        <f t="shared" si="22"/>
        <v>7374</v>
      </c>
      <c r="I118" s="33">
        <f t="shared" si="22"/>
        <v>144626</v>
      </c>
      <c r="J118" s="33">
        <f t="shared" si="22"/>
        <v>23016</v>
      </c>
      <c r="K118" s="33">
        <f t="shared" si="22"/>
        <v>66487</v>
      </c>
      <c r="L118" s="33">
        <f t="shared" si="22"/>
        <v>40504</v>
      </c>
      <c r="M118" s="33">
        <f t="shared" si="22"/>
        <v>90957</v>
      </c>
      <c r="N118" s="33">
        <f>N119-SUM(N88:N117)</f>
        <v>5221</v>
      </c>
      <c r="O118" s="33">
        <f>O119-SUM(O88:O117)</f>
        <v>9870</v>
      </c>
      <c r="P118" s="33">
        <f>P119-SUM(P88:P117)</f>
        <v>6239</v>
      </c>
      <c r="Q118" s="33">
        <f>Q119-SUM(Q88:Q117)</f>
        <v>12562</v>
      </c>
      <c r="R118" s="33">
        <f t="shared" ref="R118:X118" si="23">R119-SUM(R88:R117)</f>
        <v>727</v>
      </c>
      <c r="S118" s="33">
        <f t="shared" si="23"/>
        <v>3005</v>
      </c>
      <c r="T118" s="33">
        <f t="shared" si="23"/>
        <v>272</v>
      </c>
      <c r="U118" s="33">
        <f t="shared" si="23"/>
        <v>1544</v>
      </c>
      <c r="V118" s="33">
        <f t="shared" si="23"/>
        <v>19</v>
      </c>
      <c r="W118" s="33">
        <f t="shared" si="23"/>
        <v>296</v>
      </c>
      <c r="X118" s="33">
        <f t="shared" si="23"/>
        <v>17</v>
      </c>
      <c r="Y118" s="33">
        <f>Y119-SUM(Y88:Y117)</f>
        <v>1441</v>
      </c>
      <c r="Z118" s="33">
        <f t="shared" ref="Z118:AF118" si="24">Z119-SUM(Z88:Z117)</f>
        <v>1411</v>
      </c>
      <c r="AA118" s="33">
        <f t="shared" si="24"/>
        <v>23296</v>
      </c>
      <c r="AB118" s="33">
        <f t="shared" si="24"/>
        <v>2711</v>
      </c>
      <c r="AC118" s="33">
        <f t="shared" si="24"/>
        <v>25753</v>
      </c>
      <c r="AD118" s="33">
        <f t="shared" si="24"/>
        <v>71696</v>
      </c>
      <c r="AE118" s="33">
        <f t="shared" si="24"/>
        <v>440278</v>
      </c>
      <c r="AF118" s="33">
        <f t="shared" si="24"/>
        <v>82390</v>
      </c>
      <c r="AG118" s="38">
        <f t="shared" si="18"/>
        <v>14.9</v>
      </c>
      <c r="AH118" s="33">
        <f>AH119-SUM(AH88:AH117)</f>
        <v>458026</v>
      </c>
      <c r="AI118" s="38">
        <f t="shared" si="20"/>
        <v>4</v>
      </c>
    </row>
    <row r="119" spans="1:35" s="605" customFormat="1" ht="19.5" hidden="1" customHeight="1">
      <c r="A119" s="31" t="s">
        <v>72</v>
      </c>
      <c r="B119" s="35">
        <v>223296</v>
      </c>
      <c r="C119" s="36">
        <v>1315570</v>
      </c>
      <c r="D119" s="36">
        <v>238558</v>
      </c>
      <c r="E119" s="36">
        <v>1893649</v>
      </c>
      <c r="F119" s="36">
        <v>14599</v>
      </c>
      <c r="G119" s="36">
        <v>257210</v>
      </c>
      <c r="H119" s="36">
        <v>17143</v>
      </c>
      <c r="I119" s="36">
        <v>310671</v>
      </c>
      <c r="J119" s="36">
        <v>697688</v>
      </c>
      <c r="K119" s="36">
        <v>1434961</v>
      </c>
      <c r="L119" s="36">
        <v>776398</v>
      </c>
      <c r="M119" s="36">
        <v>1814110</v>
      </c>
      <c r="N119" s="36">
        <v>33881</v>
      </c>
      <c r="O119" s="36">
        <v>68539</v>
      </c>
      <c r="P119" s="36">
        <v>42633</v>
      </c>
      <c r="Q119" s="36">
        <v>87712</v>
      </c>
      <c r="R119" s="36">
        <v>16149</v>
      </c>
      <c r="S119" s="36">
        <v>40944</v>
      </c>
      <c r="T119" s="36">
        <v>10747</v>
      </c>
      <c r="U119" s="36">
        <v>32467</v>
      </c>
      <c r="V119" s="36">
        <v>4176</v>
      </c>
      <c r="W119" s="36">
        <v>74767</v>
      </c>
      <c r="X119" s="36">
        <v>3378</v>
      </c>
      <c r="Y119" s="36">
        <v>78479</v>
      </c>
      <c r="Z119" s="36">
        <v>36442</v>
      </c>
      <c r="AA119" s="36">
        <v>244242</v>
      </c>
      <c r="AB119" s="36">
        <v>41623</v>
      </c>
      <c r="AC119" s="36">
        <v>278747</v>
      </c>
      <c r="AD119" s="36">
        <f>SUM(B119+F119+J119+N119+R119+V119+Z119)</f>
        <v>1026231</v>
      </c>
      <c r="AE119" s="35">
        <f>SUM(C119+G119+K119+O119+S119+W119+AA119)</f>
        <v>3436233</v>
      </c>
      <c r="AF119" s="36">
        <f>SUM(D119+H119+L119+P119+T119+X119+AB119)</f>
        <v>1130480</v>
      </c>
      <c r="AG119" s="38">
        <f t="shared" si="18"/>
        <v>10.199999999999999</v>
      </c>
      <c r="AH119" s="35">
        <f>SUM(E119+I119+M119+Q119+U119+Y119+AC119)</f>
        <v>4495835</v>
      </c>
      <c r="AI119" s="38">
        <f t="shared" si="20"/>
        <v>30.8</v>
      </c>
    </row>
    <row r="120" spans="1:35" hidden="1"/>
    <row r="121" spans="1:35" s="605" customFormat="1" ht="22.5" hidden="1" customHeight="1">
      <c r="A121" s="736" t="s">
        <v>603</v>
      </c>
      <c r="B121" s="736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  <c r="S121" s="736"/>
      <c r="T121" s="736"/>
      <c r="U121" s="736"/>
      <c r="V121" s="736"/>
      <c r="W121" s="736"/>
      <c r="X121" s="736"/>
      <c r="Y121" s="736"/>
      <c r="Z121" s="736"/>
      <c r="AA121" s="736"/>
      <c r="AB121" s="736"/>
      <c r="AC121" s="736"/>
      <c r="AD121" s="736"/>
      <c r="AE121" s="736"/>
      <c r="AF121" s="736"/>
      <c r="AG121" s="736"/>
      <c r="AH121" s="736"/>
      <c r="AI121" s="736"/>
    </row>
    <row r="122" spans="1:35" s="605" customFormat="1" ht="16.5" hidden="1" customHeight="1">
      <c r="A122" s="717"/>
      <c r="B122" s="717"/>
      <c r="C122" s="717"/>
      <c r="D122" s="717"/>
      <c r="E122" s="717"/>
      <c r="F122" s="717"/>
      <c r="G122" s="717"/>
      <c r="H122" s="717"/>
      <c r="I122" s="717"/>
      <c r="J122" s="717"/>
      <c r="K122" s="717"/>
      <c r="L122" s="717"/>
      <c r="M122" s="717"/>
      <c r="N122" s="717"/>
      <c r="O122" s="717"/>
      <c r="P122" s="717"/>
      <c r="Q122" s="717"/>
      <c r="R122" s="717"/>
      <c r="S122" s="717"/>
      <c r="T122" s="717"/>
      <c r="U122" s="717"/>
      <c r="V122" s="717"/>
      <c r="W122" s="717"/>
      <c r="X122" s="717"/>
      <c r="Y122" s="717"/>
      <c r="Z122" s="717"/>
      <c r="AA122" s="717"/>
      <c r="AB122" s="717"/>
      <c r="AC122" s="717"/>
      <c r="AD122" s="717"/>
      <c r="AE122" s="717"/>
      <c r="AF122" s="717"/>
      <c r="AG122" s="717"/>
      <c r="AH122" s="717"/>
      <c r="AI122" s="717"/>
    </row>
    <row r="123" spans="1:35" s="605" customFormat="1" hidden="1">
      <c r="A123" s="20"/>
      <c r="B123" s="20"/>
      <c r="C123" s="21"/>
      <c r="D123" s="22"/>
      <c r="E123" s="34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164"/>
      <c r="W123" s="164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6" t="s">
        <v>0</v>
      </c>
    </row>
    <row r="124" spans="1:35" s="605" customFormat="1" ht="21.75" hidden="1" customHeight="1">
      <c r="A124" s="758" t="s">
        <v>36</v>
      </c>
      <c r="B124" s="765" t="s">
        <v>593</v>
      </c>
      <c r="C124" s="766"/>
      <c r="D124" s="766"/>
      <c r="E124" s="767"/>
      <c r="F124" s="765" t="s">
        <v>594</v>
      </c>
      <c r="G124" s="766"/>
      <c r="H124" s="766"/>
      <c r="I124" s="767"/>
      <c r="J124" s="765" t="s">
        <v>595</v>
      </c>
      <c r="K124" s="766"/>
      <c r="L124" s="766"/>
      <c r="M124" s="767"/>
      <c r="N124" s="765" t="s">
        <v>596</v>
      </c>
      <c r="O124" s="766"/>
      <c r="P124" s="766"/>
      <c r="Q124" s="767"/>
      <c r="R124" s="765" t="s">
        <v>597</v>
      </c>
      <c r="S124" s="766"/>
      <c r="T124" s="766"/>
      <c r="U124" s="767"/>
      <c r="V124" s="765" t="s">
        <v>598</v>
      </c>
      <c r="W124" s="766"/>
      <c r="X124" s="766"/>
      <c r="Y124" s="767"/>
      <c r="Z124" s="765" t="s">
        <v>599</v>
      </c>
      <c r="AA124" s="766"/>
      <c r="AB124" s="766"/>
      <c r="AC124" s="767"/>
      <c r="AD124" s="765" t="s">
        <v>600</v>
      </c>
      <c r="AE124" s="766"/>
      <c r="AF124" s="766"/>
      <c r="AG124" s="766"/>
      <c r="AH124" s="766"/>
      <c r="AI124" s="767"/>
    </row>
    <row r="125" spans="1:35" s="605" customFormat="1" ht="21" hidden="1" customHeight="1">
      <c r="A125" s="836"/>
      <c r="B125" s="765" t="s">
        <v>431</v>
      </c>
      <c r="C125" s="767"/>
      <c r="D125" s="765" t="s">
        <v>503</v>
      </c>
      <c r="E125" s="767"/>
      <c r="F125" s="765" t="s">
        <v>431</v>
      </c>
      <c r="G125" s="767"/>
      <c r="H125" s="765" t="s">
        <v>503</v>
      </c>
      <c r="I125" s="767"/>
      <c r="J125" s="765" t="s">
        <v>431</v>
      </c>
      <c r="K125" s="767"/>
      <c r="L125" s="765" t="s">
        <v>503</v>
      </c>
      <c r="M125" s="767"/>
      <c r="N125" s="765" t="s">
        <v>431</v>
      </c>
      <c r="O125" s="767"/>
      <c r="P125" s="765" t="s">
        <v>503</v>
      </c>
      <c r="Q125" s="767"/>
      <c r="R125" s="765" t="s">
        <v>431</v>
      </c>
      <c r="S125" s="767"/>
      <c r="T125" s="765" t="s">
        <v>503</v>
      </c>
      <c r="U125" s="767"/>
      <c r="V125" s="765" t="s">
        <v>431</v>
      </c>
      <c r="W125" s="767"/>
      <c r="X125" s="765" t="s">
        <v>503</v>
      </c>
      <c r="Y125" s="767"/>
      <c r="Z125" s="765" t="s">
        <v>431</v>
      </c>
      <c r="AA125" s="767"/>
      <c r="AB125" s="765" t="s">
        <v>503</v>
      </c>
      <c r="AC125" s="767"/>
      <c r="AD125" s="765" t="s">
        <v>431</v>
      </c>
      <c r="AE125" s="767"/>
      <c r="AF125" s="765" t="s">
        <v>503</v>
      </c>
      <c r="AG125" s="766"/>
      <c r="AH125" s="766"/>
      <c r="AI125" s="767"/>
    </row>
    <row r="126" spans="1:35" s="605" customFormat="1" ht="16.5" hidden="1" customHeight="1">
      <c r="A126" s="836"/>
      <c r="B126" s="758" t="s">
        <v>37</v>
      </c>
      <c r="C126" s="758" t="s">
        <v>38</v>
      </c>
      <c r="D126" s="758" t="s">
        <v>39</v>
      </c>
      <c r="E126" s="758" t="s">
        <v>38</v>
      </c>
      <c r="F126" s="758" t="s">
        <v>40</v>
      </c>
      <c r="G126" s="758" t="s">
        <v>38</v>
      </c>
      <c r="H126" s="758" t="s">
        <v>39</v>
      </c>
      <c r="I126" s="758" t="s">
        <v>38</v>
      </c>
      <c r="J126" s="758" t="s">
        <v>37</v>
      </c>
      <c r="K126" s="758" t="s">
        <v>38</v>
      </c>
      <c r="L126" s="758" t="s">
        <v>39</v>
      </c>
      <c r="M126" s="758" t="s">
        <v>38</v>
      </c>
      <c r="N126" s="758" t="s">
        <v>37</v>
      </c>
      <c r="O126" s="758" t="s">
        <v>38</v>
      </c>
      <c r="P126" s="758" t="s">
        <v>39</v>
      </c>
      <c r="Q126" s="758" t="s">
        <v>38</v>
      </c>
      <c r="R126" s="758" t="s">
        <v>37</v>
      </c>
      <c r="S126" s="758" t="s">
        <v>38</v>
      </c>
      <c r="T126" s="758" t="s">
        <v>39</v>
      </c>
      <c r="U126" s="758" t="s">
        <v>38</v>
      </c>
      <c r="V126" s="758" t="s">
        <v>37</v>
      </c>
      <c r="W126" s="758" t="s">
        <v>38</v>
      </c>
      <c r="X126" s="758" t="s">
        <v>41</v>
      </c>
      <c r="Y126" s="758" t="s">
        <v>38</v>
      </c>
      <c r="Z126" s="758" t="s">
        <v>37</v>
      </c>
      <c r="AA126" s="758" t="s">
        <v>38</v>
      </c>
      <c r="AB126" s="758" t="s">
        <v>39</v>
      </c>
      <c r="AC126" s="758" t="s">
        <v>38</v>
      </c>
      <c r="AD126" s="758" t="s">
        <v>37</v>
      </c>
      <c r="AE126" s="758" t="s">
        <v>38</v>
      </c>
      <c r="AF126" s="772" t="s">
        <v>39</v>
      </c>
      <c r="AG126" s="27"/>
      <c r="AH126" s="772" t="s">
        <v>38</v>
      </c>
      <c r="AI126" s="27"/>
    </row>
    <row r="127" spans="1:35" s="605" customFormat="1" ht="16.5" hidden="1" customHeight="1" thickBot="1">
      <c r="A127" s="835"/>
      <c r="B127" s="835"/>
      <c r="C127" s="835"/>
      <c r="D127" s="835"/>
      <c r="E127" s="835"/>
      <c r="F127" s="835"/>
      <c r="G127" s="835"/>
      <c r="H127" s="835"/>
      <c r="I127" s="835"/>
      <c r="J127" s="835"/>
      <c r="K127" s="835"/>
      <c r="L127" s="835"/>
      <c r="M127" s="835"/>
      <c r="N127" s="835"/>
      <c r="O127" s="835"/>
      <c r="P127" s="835"/>
      <c r="Q127" s="835"/>
      <c r="R127" s="835"/>
      <c r="S127" s="835"/>
      <c r="T127" s="835"/>
      <c r="U127" s="835"/>
      <c r="V127" s="835"/>
      <c r="W127" s="835"/>
      <c r="X127" s="835"/>
      <c r="Y127" s="835"/>
      <c r="Z127" s="835"/>
      <c r="AA127" s="835"/>
      <c r="AB127" s="835"/>
      <c r="AC127" s="835"/>
      <c r="AD127" s="835"/>
      <c r="AE127" s="835"/>
      <c r="AF127" s="834"/>
      <c r="AG127" s="28" t="s">
        <v>42</v>
      </c>
      <c r="AH127" s="834"/>
      <c r="AI127" s="28" t="s">
        <v>42</v>
      </c>
    </row>
    <row r="128" spans="1:35" s="605" customFormat="1" ht="19.5" hidden="1" customHeight="1" thickTop="1">
      <c r="A128" s="610" t="s">
        <v>43</v>
      </c>
      <c r="B128" s="32">
        <v>24163</v>
      </c>
      <c r="C128" s="32">
        <v>153075</v>
      </c>
      <c r="D128" s="32">
        <v>25340</v>
      </c>
      <c r="E128" s="32">
        <v>214322</v>
      </c>
      <c r="F128" s="32">
        <v>0</v>
      </c>
      <c r="G128" s="32">
        <v>0</v>
      </c>
      <c r="H128" s="32">
        <v>0</v>
      </c>
      <c r="I128" s="32">
        <v>0</v>
      </c>
      <c r="J128" s="32">
        <v>118410</v>
      </c>
      <c r="K128" s="32">
        <v>367271</v>
      </c>
      <c r="L128" s="32">
        <v>134827</v>
      </c>
      <c r="M128" s="32">
        <v>467769</v>
      </c>
      <c r="N128" s="32">
        <v>598</v>
      </c>
      <c r="O128" s="32">
        <v>1322</v>
      </c>
      <c r="P128" s="32">
        <v>27</v>
      </c>
      <c r="Q128" s="32">
        <v>240</v>
      </c>
      <c r="R128" s="32">
        <v>106</v>
      </c>
      <c r="S128" s="32">
        <v>1574</v>
      </c>
      <c r="T128" s="32">
        <v>107</v>
      </c>
      <c r="U128" s="32">
        <v>1376</v>
      </c>
      <c r="V128" s="32">
        <v>220</v>
      </c>
      <c r="W128" s="32">
        <v>3081</v>
      </c>
      <c r="X128" s="32">
        <v>751</v>
      </c>
      <c r="Y128" s="32">
        <v>18665</v>
      </c>
      <c r="Z128" s="32">
        <v>41554</v>
      </c>
      <c r="AA128" s="32">
        <v>143167</v>
      </c>
      <c r="AB128" s="32">
        <v>41299</v>
      </c>
      <c r="AC128" s="32">
        <v>184386</v>
      </c>
      <c r="AD128" s="32">
        <f>SUM(B128+F128+J128+N128+R128+V128+Z128)</f>
        <v>185051</v>
      </c>
      <c r="AE128" s="32">
        <f>SUM(C128+G128+K128+O128+S128+W128+AA128)</f>
        <v>669490</v>
      </c>
      <c r="AF128" s="32">
        <f>SUM(D128+H128+L128+P128+T128+X128+AB128)</f>
        <v>202351</v>
      </c>
      <c r="AG128" s="37">
        <f>ROUND(((AF128/AD128-1)*100),1)</f>
        <v>9.3000000000000007</v>
      </c>
      <c r="AH128" s="32">
        <f>SUM(E128+I128+M128+Q128+U128+Y128+AC128)</f>
        <v>886758</v>
      </c>
      <c r="AI128" s="37">
        <f>ROUND(((AH128/AE128-1)*100),1)</f>
        <v>32.5</v>
      </c>
    </row>
    <row r="129" spans="1:35" s="605" customFormat="1" ht="19.5" hidden="1" customHeight="1">
      <c r="A129" s="610" t="s">
        <v>45</v>
      </c>
      <c r="B129" s="32">
        <v>1752</v>
      </c>
      <c r="C129" s="32">
        <v>3735</v>
      </c>
      <c r="D129" s="32">
        <v>5714</v>
      </c>
      <c r="E129" s="32">
        <v>16446</v>
      </c>
      <c r="F129" s="32">
        <v>49</v>
      </c>
      <c r="G129" s="32">
        <v>896</v>
      </c>
      <c r="H129" s="32">
        <v>36</v>
      </c>
      <c r="I129" s="32">
        <v>871</v>
      </c>
      <c r="J129" s="32">
        <v>152558</v>
      </c>
      <c r="K129" s="32">
        <v>270786</v>
      </c>
      <c r="L129" s="32">
        <v>209860</v>
      </c>
      <c r="M129" s="32">
        <v>472301</v>
      </c>
      <c r="N129" s="32">
        <v>15791</v>
      </c>
      <c r="O129" s="32">
        <v>32936</v>
      </c>
      <c r="P129" s="32">
        <v>25468</v>
      </c>
      <c r="Q129" s="32">
        <v>52443</v>
      </c>
      <c r="R129" s="32">
        <v>12160</v>
      </c>
      <c r="S129" s="32">
        <v>29774</v>
      </c>
      <c r="T129" s="32">
        <v>6056</v>
      </c>
      <c r="U129" s="32">
        <v>17278</v>
      </c>
      <c r="V129" s="32">
        <v>82</v>
      </c>
      <c r="W129" s="32">
        <v>815</v>
      </c>
      <c r="X129" s="32">
        <v>56</v>
      </c>
      <c r="Y129" s="32">
        <v>657</v>
      </c>
      <c r="Z129" s="32">
        <v>51</v>
      </c>
      <c r="AA129" s="32">
        <v>435</v>
      </c>
      <c r="AB129" s="32">
        <v>134</v>
      </c>
      <c r="AC129" s="32">
        <v>702</v>
      </c>
      <c r="AD129" s="32">
        <f>SUM(B129+F129+J129+N129+R129+V129+Z129)</f>
        <v>182443</v>
      </c>
      <c r="AE129" s="32">
        <f t="shared" ref="AE129:AE157" si="25">SUM(C129+G129+K129+O129+S129+W129+AA129)</f>
        <v>339377</v>
      </c>
      <c r="AF129" s="32">
        <f t="shared" ref="AF129:AF157" si="26">SUM(D129+H129+L129+P129+T129+X129+AB129)</f>
        <v>247324</v>
      </c>
      <c r="AG129" s="37">
        <f t="shared" ref="AG129:AG159" si="27">ROUND(((AF129/AD129-1)*100),1)</f>
        <v>35.6</v>
      </c>
      <c r="AH129" s="32">
        <f t="shared" ref="AH129:AH157" si="28">SUM(E129+I129+M129+Q129+U129+Y129+AC129)</f>
        <v>560698</v>
      </c>
      <c r="AI129" s="37">
        <f t="shared" ref="AI129:AI159" si="29">ROUND(((AH129/AE129-1)*100),1)</f>
        <v>65.2</v>
      </c>
    </row>
    <row r="130" spans="1:35" s="605" customFormat="1" ht="19.5" hidden="1" customHeight="1">
      <c r="A130" s="610" t="s">
        <v>54</v>
      </c>
      <c r="B130" s="32">
        <v>6780</v>
      </c>
      <c r="C130" s="32">
        <v>37952</v>
      </c>
      <c r="D130" s="32">
        <v>5067</v>
      </c>
      <c r="E130" s="32">
        <v>40391</v>
      </c>
      <c r="F130" s="32">
        <v>4990</v>
      </c>
      <c r="G130" s="32">
        <v>65554</v>
      </c>
      <c r="H130" s="32">
        <v>8221</v>
      </c>
      <c r="I130" s="32">
        <v>142120</v>
      </c>
      <c r="J130" s="32">
        <v>140679</v>
      </c>
      <c r="K130" s="32">
        <v>243933</v>
      </c>
      <c r="L130" s="32">
        <v>130970</v>
      </c>
      <c r="M130" s="32">
        <v>276743</v>
      </c>
      <c r="N130" s="32">
        <v>5215</v>
      </c>
      <c r="O130" s="32">
        <v>9300</v>
      </c>
      <c r="P130" s="32">
        <v>3032</v>
      </c>
      <c r="Q130" s="32">
        <v>5335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568</v>
      </c>
      <c r="AA130" s="32">
        <v>1794</v>
      </c>
      <c r="AB130" s="32">
        <v>636</v>
      </c>
      <c r="AC130" s="32">
        <v>1201</v>
      </c>
      <c r="AD130" s="32">
        <f t="shared" ref="AD130:AD157" si="30">SUM(B130+F130+J130+N130+R130+V130+Z130)</f>
        <v>158232</v>
      </c>
      <c r="AE130" s="32">
        <f t="shared" si="25"/>
        <v>358533</v>
      </c>
      <c r="AF130" s="32">
        <f t="shared" si="26"/>
        <v>147926</v>
      </c>
      <c r="AG130" s="37">
        <f t="shared" si="27"/>
        <v>-6.5</v>
      </c>
      <c r="AH130" s="32">
        <f t="shared" si="28"/>
        <v>465790</v>
      </c>
      <c r="AI130" s="37">
        <f t="shared" si="29"/>
        <v>29.9</v>
      </c>
    </row>
    <row r="131" spans="1:35" s="605" customFormat="1" ht="19.5" hidden="1" customHeight="1">
      <c r="A131" s="610" t="s">
        <v>46</v>
      </c>
      <c r="B131" s="32">
        <v>34142</v>
      </c>
      <c r="C131" s="32">
        <v>187204</v>
      </c>
      <c r="D131" s="32">
        <v>25082</v>
      </c>
      <c r="E131" s="32">
        <v>190550</v>
      </c>
      <c r="F131" s="32">
        <v>1073</v>
      </c>
      <c r="G131" s="32">
        <v>28867</v>
      </c>
      <c r="H131" s="32">
        <v>502</v>
      </c>
      <c r="I131" s="32">
        <v>24897</v>
      </c>
      <c r="J131" s="32">
        <v>103292</v>
      </c>
      <c r="K131" s="32">
        <v>198509</v>
      </c>
      <c r="L131" s="32">
        <v>88009</v>
      </c>
      <c r="M131" s="32">
        <v>192265</v>
      </c>
      <c r="N131" s="32">
        <v>453</v>
      </c>
      <c r="O131" s="32">
        <v>865</v>
      </c>
      <c r="P131" s="32">
        <v>345</v>
      </c>
      <c r="Q131" s="32">
        <v>709</v>
      </c>
      <c r="R131" s="32">
        <v>155</v>
      </c>
      <c r="S131" s="32">
        <v>307</v>
      </c>
      <c r="T131" s="32">
        <v>98</v>
      </c>
      <c r="U131" s="32">
        <v>258</v>
      </c>
      <c r="V131" s="32">
        <v>2</v>
      </c>
      <c r="W131" s="32">
        <v>134</v>
      </c>
      <c r="X131" s="32">
        <v>1</v>
      </c>
      <c r="Y131" s="32">
        <v>91</v>
      </c>
      <c r="Z131" s="32">
        <v>924</v>
      </c>
      <c r="AA131" s="32">
        <v>84727</v>
      </c>
      <c r="AB131" s="32">
        <v>503</v>
      </c>
      <c r="AC131" s="32">
        <v>56377</v>
      </c>
      <c r="AD131" s="32">
        <f t="shared" si="30"/>
        <v>140041</v>
      </c>
      <c r="AE131" s="32">
        <f t="shared" si="25"/>
        <v>500613</v>
      </c>
      <c r="AF131" s="32">
        <f t="shared" si="26"/>
        <v>114540</v>
      </c>
      <c r="AG131" s="37">
        <f t="shared" si="27"/>
        <v>-18.2</v>
      </c>
      <c r="AH131" s="32">
        <f t="shared" si="28"/>
        <v>465147</v>
      </c>
      <c r="AI131" s="37">
        <f t="shared" si="29"/>
        <v>-7.1</v>
      </c>
    </row>
    <row r="132" spans="1:35" s="605" customFormat="1" ht="19.5" hidden="1" customHeight="1">
      <c r="A132" s="610" t="s">
        <v>47</v>
      </c>
      <c r="B132" s="32">
        <v>16024</v>
      </c>
      <c r="C132" s="32">
        <v>189425</v>
      </c>
      <c r="D132" s="32">
        <v>14549</v>
      </c>
      <c r="E132" s="32">
        <v>240048</v>
      </c>
      <c r="F132" s="32">
        <v>0</v>
      </c>
      <c r="G132" s="32">
        <v>0</v>
      </c>
      <c r="H132" s="32">
        <v>0</v>
      </c>
      <c r="I132" s="32">
        <v>0</v>
      </c>
      <c r="J132" s="32">
        <v>49007</v>
      </c>
      <c r="K132" s="32">
        <v>111618</v>
      </c>
      <c r="L132" s="32">
        <v>45561</v>
      </c>
      <c r="M132" s="32">
        <v>157363</v>
      </c>
      <c r="N132" s="32">
        <v>2150</v>
      </c>
      <c r="O132" s="32">
        <v>4212</v>
      </c>
      <c r="P132" s="32">
        <v>2146</v>
      </c>
      <c r="Q132" s="32">
        <v>4361</v>
      </c>
      <c r="R132" s="32">
        <v>167</v>
      </c>
      <c r="S132" s="32">
        <v>308</v>
      </c>
      <c r="T132" s="32">
        <v>222</v>
      </c>
      <c r="U132" s="32">
        <v>438</v>
      </c>
      <c r="V132" s="32">
        <v>76</v>
      </c>
      <c r="W132" s="32">
        <v>4855</v>
      </c>
      <c r="X132" s="32">
        <v>87</v>
      </c>
      <c r="Y132" s="32">
        <v>4267</v>
      </c>
      <c r="Z132" s="32">
        <v>1108</v>
      </c>
      <c r="AA132" s="32">
        <v>37365</v>
      </c>
      <c r="AB132" s="32">
        <v>1949</v>
      </c>
      <c r="AC132" s="32">
        <v>51358</v>
      </c>
      <c r="AD132" s="32">
        <f t="shared" si="30"/>
        <v>68532</v>
      </c>
      <c r="AE132" s="32">
        <f t="shared" si="25"/>
        <v>347783</v>
      </c>
      <c r="AF132" s="32">
        <f t="shared" si="26"/>
        <v>64514</v>
      </c>
      <c r="AG132" s="37">
        <f t="shared" si="27"/>
        <v>-5.9</v>
      </c>
      <c r="AH132" s="32">
        <f t="shared" si="28"/>
        <v>457835</v>
      </c>
      <c r="AI132" s="37">
        <f t="shared" si="29"/>
        <v>31.6</v>
      </c>
    </row>
    <row r="133" spans="1:35" s="605" customFormat="1" ht="19.5" hidden="1" customHeight="1">
      <c r="A133" s="610" t="s">
        <v>77</v>
      </c>
      <c r="B133" s="32">
        <v>56932</v>
      </c>
      <c r="C133" s="32">
        <v>315720</v>
      </c>
      <c r="D133" s="32">
        <v>89578</v>
      </c>
      <c r="E133" s="32">
        <v>723918</v>
      </c>
      <c r="F133" s="32">
        <v>0</v>
      </c>
      <c r="G133" s="32">
        <v>0</v>
      </c>
      <c r="H133" s="32">
        <v>0</v>
      </c>
      <c r="I133" s="32">
        <v>0</v>
      </c>
      <c r="J133" s="32">
        <v>892</v>
      </c>
      <c r="K133" s="32">
        <v>1038</v>
      </c>
      <c r="L133" s="32">
        <v>1148</v>
      </c>
      <c r="M133" s="32">
        <v>1671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5</v>
      </c>
      <c r="AB133" s="32">
        <v>0</v>
      </c>
      <c r="AC133" s="32">
        <v>0</v>
      </c>
      <c r="AD133" s="32">
        <f t="shared" si="30"/>
        <v>57824</v>
      </c>
      <c r="AE133" s="32">
        <f t="shared" si="25"/>
        <v>316763</v>
      </c>
      <c r="AF133" s="32">
        <f t="shared" si="26"/>
        <v>90726</v>
      </c>
      <c r="AG133" s="37">
        <f t="shared" si="27"/>
        <v>56.9</v>
      </c>
      <c r="AH133" s="32">
        <f t="shared" si="28"/>
        <v>725589</v>
      </c>
      <c r="AI133" s="37">
        <f t="shared" si="29"/>
        <v>129.1</v>
      </c>
    </row>
    <row r="134" spans="1:35" s="605" customFormat="1" ht="19.5" hidden="1" customHeight="1">
      <c r="A134" s="610" t="s">
        <v>49</v>
      </c>
      <c r="B134" s="32">
        <v>10544</v>
      </c>
      <c r="C134" s="32">
        <v>63080</v>
      </c>
      <c r="D134" s="32">
        <v>11838</v>
      </c>
      <c r="E134" s="32">
        <v>80814</v>
      </c>
      <c r="F134" s="32">
        <v>2</v>
      </c>
      <c r="G134" s="32">
        <v>24</v>
      </c>
      <c r="H134" s="32">
        <v>63</v>
      </c>
      <c r="I134" s="32">
        <v>193</v>
      </c>
      <c r="J134" s="32">
        <v>53358</v>
      </c>
      <c r="K134" s="32">
        <v>94454</v>
      </c>
      <c r="L134" s="32">
        <v>46058</v>
      </c>
      <c r="M134" s="32">
        <v>98925</v>
      </c>
      <c r="N134" s="32">
        <v>70</v>
      </c>
      <c r="O134" s="32">
        <v>126</v>
      </c>
      <c r="P134" s="32">
        <v>3</v>
      </c>
      <c r="Q134" s="32">
        <v>22</v>
      </c>
      <c r="R134" s="32">
        <v>111</v>
      </c>
      <c r="S134" s="32">
        <v>307</v>
      </c>
      <c r="T134" s="32">
        <v>156</v>
      </c>
      <c r="U134" s="32">
        <v>551</v>
      </c>
      <c r="V134" s="32">
        <v>426</v>
      </c>
      <c r="W134" s="32">
        <v>7099</v>
      </c>
      <c r="X134" s="32">
        <v>805</v>
      </c>
      <c r="Y134" s="32">
        <v>17775</v>
      </c>
      <c r="Z134" s="32">
        <v>207</v>
      </c>
      <c r="AA134" s="32">
        <v>402</v>
      </c>
      <c r="AB134" s="32">
        <v>66</v>
      </c>
      <c r="AC134" s="32">
        <v>180</v>
      </c>
      <c r="AD134" s="32">
        <f t="shared" si="30"/>
        <v>64718</v>
      </c>
      <c r="AE134" s="32">
        <f t="shared" si="25"/>
        <v>165492</v>
      </c>
      <c r="AF134" s="32">
        <f t="shared" si="26"/>
        <v>58989</v>
      </c>
      <c r="AG134" s="37">
        <f t="shared" si="27"/>
        <v>-8.9</v>
      </c>
      <c r="AH134" s="32">
        <f t="shared" si="28"/>
        <v>198460</v>
      </c>
      <c r="AI134" s="37">
        <f t="shared" si="29"/>
        <v>19.899999999999999</v>
      </c>
    </row>
    <row r="135" spans="1:35" s="605" customFormat="1" ht="19.5" hidden="1" customHeight="1">
      <c r="A135" s="610" t="s">
        <v>57</v>
      </c>
      <c r="B135" s="32">
        <v>2846</v>
      </c>
      <c r="C135" s="32">
        <v>14926</v>
      </c>
      <c r="D135" s="32">
        <v>4910</v>
      </c>
      <c r="E135" s="32">
        <v>36331</v>
      </c>
      <c r="F135" s="32">
        <v>0</v>
      </c>
      <c r="G135" s="32">
        <v>0</v>
      </c>
      <c r="H135" s="32">
        <v>0</v>
      </c>
      <c r="I135" s="32">
        <v>0</v>
      </c>
      <c r="J135" s="32">
        <v>39241</v>
      </c>
      <c r="K135" s="32">
        <v>68273</v>
      </c>
      <c r="L135" s="32">
        <v>51528</v>
      </c>
      <c r="M135" s="32">
        <v>104350</v>
      </c>
      <c r="N135" s="32">
        <v>5263</v>
      </c>
      <c r="O135" s="32">
        <v>10515</v>
      </c>
      <c r="P135" s="32">
        <v>2088</v>
      </c>
      <c r="Q135" s="32">
        <v>4272</v>
      </c>
      <c r="R135" s="32">
        <v>0</v>
      </c>
      <c r="S135" s="32">
        <v>0</v>
      </c>
      <c r="T135" s="32">
        <v>1</v>
      </c>
      <c r="U135" s="32">
        <v>3</v>
      </c>
      <c r="V135" s="32">
        <v>0</v>
      </c>
      <c r="W135" s="32">
        <v>0</v>
      </c>
      <c r="X135" s="32">
        <v>0</v>
      </c>
      <c r="Y135" s="32">
        <v>0</v>
      </c>
      <c r="Z135" s="32">
        <v>32</v>
      </c>
      <c r="AA135" s="32">
        <v>138</v>
      </c>
      <c r="AB135" s="32">
        <v>46</v>
      </c>
      <c r="AC135" s="32">
        <v>152</v>
      </c>
      <c r="AD135" s="32">
        <f t="shared" si="30"/>
        <v>47382</v>
      </c>
      <c r="AE135" s="32">
        <f t="shared" si="25"/>
        <v>93852</v>
      </c>
      <c r="AF135" s="32">
        <f t="shared" si="26"/>
        <v>58573</v>
      </c>
      <c r="AG135" s="37">
        <f t="shared" si="27"/>
        <v>23.6</v>
      </c>
      <c r="AH135" s="32">
        <f t="shared" si="28"/>
        <v>145108</v>
      </c>
      <c r="AI135" s="37">
        <f t="shared" si="29"/>
        <v>54.6</v>
      </c>
    </row>
    <row r="136" spans="1:35" s="605" customFormat="1" ht="19.5" hidden="1" customHeight="1">
      <c r="A136" s="610" t="s">
        <v>79</v>
      </c>
      <c r="B136" s="32">
        <v>498</v>
      </c>
      <c r="C136" s="32">
        <v>2097</v>
      </c>
      <c r="D136" s="32">
        <v>11</v>
      </c>
      <c r="E136" s="32">
        <v>100</v>
      </c>
      <c r="F136" s="32">
        <v>25</v>
      </c>
      <c r="G136" s="32">
        <v>569</v>
      </c>
      <c r="H136" s="32">
        <v>15</v>
      </c>
      <c r="I136" s="32">
        <v>388</v>
      </c>
      <c r="J136" s="32">
        <v>35406</v>
      </c>
      <c r="K136" s="32">
        <v>66656</v>
      </c>
      <c r="L136" s="32">
        <v>44610</v>
      </c>
      <c r="M136" s="32">
        <v>101543</v>
      </c>
      <c r="N136" s="32">
        <v>350</v>
      </c>
      <c r="O136" s="32">
        <v>785</v>
      </c>
      <c r="P136" s="32">
        <v>2757</v>
      </c>
      <c r="Q136" s="32">
        <v>5557</v>
      </c>
      <c r="R136" s="32">
        <v>0</v>
      </c>
      <c r="S136" s="32">
        <v>0</v>
      </c>
      <c r="T136" s="32">
        <v>0</v>
      </c>
      <c r="U136" s="32">
        <v>0</v>
      </c>
      <c r="V136" s="32">
        <v>1</v>
      </c>
      <c r="W136" s="32">
        <v>56</v>
      </c>
      <c r="X136" s="32">
        <v>1</v>
      </c>
      <c r="Y136" s="32">
        <v>84</v>
      </c>
      <c r="Z136" s="32">
        <v>1281</v>
      </c>
      <c r="AA136" s="32">
        <v>10967</v>
      </c>
      <c r="AB136" s="32">
        <v>1005</v>
      </c>
      <c r="AC136" s="32">
        <v>7298</v>
      </c>
      <c r="AD136" s="32">
        <f t="shared" si="30"/>
        <v>37561</v>
      </c>
      <c r="AE136" s="32">
        <f t="shared" si="25"/>
        <v>81130</v>
      </c>
      <c r="AF136" s="32">
        <f t="shared" si="26"/>
        <v>48399</v>
      </c>
      <c r="AG136" s="37">
        <f t="shared" si="27"/>
        <v>28.9</v>
      </c>
      <c r="AH136" s="32">
        <f t="shared" si="28"/>
        <v>114970</v>
      </c>
      <c r="AI136" s="37">
        <f t="shared" si="29"/>
        <v>41.7</v>
      </c>
    </row>
    <row r="137" spans="1:35" s="605" customFormat="1" ht="19.5" hidden="1" customHeight="1">
      <c r="A137" s="610" t="s">
        <v>48</v>
      </c>
      <c r="B137" s="32">
        <v>5453</v>
      </c>
      <c r="C137" s="32">
        <v>30369</v>
      </c>
      <c r="D137" s="32">
        <v>6156</v>
      </c>
      <c r="E137" s="32">
        <v>45087</v>
      </c>
      <c r="F137" s="32">
        <v>0</v>
      </c>
      <c r="G137" s="32">
        <v>1</v>
      </c>
      <c r="H137" s="32">
        <v>0</v>
      </c>
      <c r="I137" s="32">
        <v>0</v>
      </c>
      <c r="J137" s="32">
        <v>37786</v>
      </c>
      <c r="K137" s="32">
        <v>59154</v>
      </c>
      <c r="L137" s="32">
        <v>28450</v>
      </c>
      <c r="M137" s="32">
        <v>50238</v>
      </c>
      <c r="N137" s="32">
        <v>94</v>
      </c>
      <c r="O137" s="32">
        <v>163</v>
      </c>
      <c r="P137" s="32">
        <v>420</v>
      </c>
      <c r="Q137" s="32">
        <v>833</v>
      </c>
      <c r="R137" s="32">
        <v>0</v>
      </c>
      <c r="S137" s="32">
        <v>0</v>
      </c>
      <c r="T137" s="32">
        <v>0</v>
      </c>
      <c r="U137" s="32">
        <v>0</v>
      </c>
      <c r="V137" s="32">
        <v>550</v>
      </c>
      <c r="W137" s="32">
        <v>10829</v>
      </c>
      <c r="X137" s="32">
        <v>584</v>
      </c>
      <c r="Y137" s="32">
        <v>15487</v>
      </c>
      <c r="Z137" s="32">
        <v>0</v>
      </c>
      <c r="AA137" s="32">
        <v>3</v>
      </c>
      <c r="AB137" s="32">
        <v>113</v>
      </c>
      <c r="AC137" s="32">
        <v>931</v>
      </c>
      <c r="AD137" s="32">
        <f t="shared" si="30"/>
        <v>43883</v>
      </c>
      <c r="AE137" s="32">
        <f t="shared" si="25"/>
        <v>100519</v>
      </c>
      <c r="AF137" s="32">
        <f t="shared" si="26"/>
        <v>35723</v>
      </c>
      <c r="AG137" s="37">
        <f t="shared" si="27"/>
        <v>-18.600000000000001</v>
      </c>
      <c r="AH137" s="32">
        <f t="shared" si="28"/>
        <v>112576</v>
      </c>
      <c r="AI137" s="37">
        <f t="shared" si="29"/>
        <v>12</v>
      </c>
    </row>
    <row r="138" spans="1:35" s="605" customFormat="1" ht="19.5" hidden="1" customHeight="1">
      <c r="A138" s="610" t="s">
        <v>56</v>
      </c>
      <c r="B138" s="32">
        <v>8590</v>
      </c>
      <c r="C138" s="32">
        <v>43983</v>
      </c>
      <c r="D138" s="32">
        <v>7721</v>
      </c>
      <c r="E138" s="32">
        <v>56781</v>
      </c>
      <c r="F138" s="32">
        <v>0</v>
      </c>
      <c r="G138" s="32">
        <v>0</v>
      </c>
      <c r="H138" s="32">
        <v>0</v>
      </c>
      <c r="I138" s="32">
        <v>0</v>
      </c>
      <c r="J138" s="32">
        <v>19120</v>
      </c>
      <c r="K138" s="32">
        <v>25618</v>
      </c>
      <c r="L138" s="32">
        <v>19286</v>
      </c>
      <c r="M138" s="32">
        <v>33470</v>
      </c>
      <c r="N138" s="32">
        <v>1122</v>
      </c>
      <c r="O138" s="32">
        <v>2178</v>
      </c>
      <c r="P138" s="32">
        <v>5274</v>
      </c>
      <c r="Q138" s="32">
        <v>10726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13</v>
      </c>
      <c r="AA138" s="32">
        <v>76</v>
      </c>
      <c r="AB138" s="32">
        <v>0</v>
      </c>
      <c r="AC138" s="32">
        <v>0</v>
      </c>
      <c r="AD138" s="32">
        <f t="shared" si="30"/>
        <v>28845</v>
      </c>
      <c r="AE138" s="32">
        <f t="shared" si="25"/>
        <v>71855</v>
      </c>
      <c r="AF138" s="32">
        <f t="shared" si="26"/>
        <v>32281</v>
      </c>
      <c r="AG138" s="37">
        <f t="shared" si="27"/>
        <v>11.9</v>
      </c>
      <c r="AH138" s="32">
        <f t="shared" si="28"/>
        <v>100977</v>
      </c>
      <c r="AI138" s="37">
        <f t="shared" si="29"/>
        <v>40.5</v>
      </c>
    </row>
    <row r="139" spans="1:35" s="605" customFormat="1" ht="19.5" hidden="1" customHeight="1">
      <c r="A139" s="610" t="s">
        <v>44</v>
      </c>
      <c r="B139" s="32">
        <v>3317</v>
      </c>
      <c r="C139" s="32">
        <v>21848</v>
      </c>
      <c r="D139" s="32">
        <v>5289</v>
      </c>
      <c r="E139" s="32">
        <v>42750</v>
      </c>
      <c r="F139" s="32">
        <v>67</v>
      </c>
      <c r="G139" s="32">
        <v>113</v>
      </c>
      <c r="H139" s="32">
        <v>35</v>
      </c>
      <c r="I139" s="32">
        <v>231</v>
      </c>
      <c r="J139" s="32">
        <v>23049</v>
      </c>
      <c r="K139" s="32">
        <v>57977</v>
      </c>
      <c r="L139" s="32">
        <v>18127</v>
      </c>
      <c r="M139" s="32">
        <v>57596</v>
      </c>
      <c r="N139" s="32">
        <v>6</v>
      </c>
      <c r="O139" s="32">
        <v>2</v>
      </c>
      <c r="P139" s="32">
        <v>27</v>
      </c>
      <c r="Q139" s="32">
        <v>362</v>
      </c>
      <c r="R139" s="32">
        <v>1254</v>
      </c>
      <c r="S139" s="32">
        <v>2496</v>
      </c>
      <c r="T139" s="32">
        <v>423</v>
      </c>
      <c r="U139" s="32">
        <v>994</v>
      </c>
      <c r="V139" s="32">
        <v>2</v>
      </c>
      <c r="W139" s="32">
        <v>32</v>
      </c>
      <c r="X139" s="32">
        <v>0</v>
      </c>
      <c r="Y139" s="32">
        <v>0</v>
      </c>
      <c r="Z139" s="32">
        <v>137</v>
      </c>
      <c r="AA139" s="32">
        <v>2215</v>
      </c>
      <c r="AB139" s="32">
        <v>1081</v>
      </c>
      <c r="AC139" s="32">
        <v>9154</v>
      </c>
      <c r="AD139" s="32">
        <f t="shared" si="30"/>
        <v>27832</v>
      </c>
      <c r="AE139" s="32">
        <f t="shared" si="25"/>
        <v>84683</v>
      </c>
      <c r="AF139" s="32">
        <f t="shared" si="26"/>
        <v>24982</v>
      </c>
      <c r="AG139" s="37">
        <f t="shared" si="27"/>
        <v>-10.199999999999999</v>
      </c>
      <c r="AH139" s="32">
        <f t="shared" si="28"/>
        <v>111087</v>
      </c>
      <c r="AI139" s="37">
        <f t="shared" si="29"/>
        <v>31.2</v>
      </c>
    </row>
    <row r="140" spans="1:35" s="605" customFormat="1" ht="19.5" hidden="1" customHeight="1">
      <c r="A140" s="610" t="s">
        <v>80</v>
      </c>
      <c r="B140" s="32">
        <v>939</v>
      </c>
      <c r="C140" s="32">
        <v>4940</v>
      </c>
      <c r="D140" s="32">
        <v>61</v>
      </c>
      <c r="E140" s="32">
        <v>345</v>
      </c>
      <c r="F140" s="32">
        <v>0</v>
      </c>
      <c r="G140" s="32">
        <v>0</v>
      </c>
      <c r="H140" s="32">
        <v>0</v>
      </c>
      <c r="I140" s="32">
        <v>0</v>
      </c>
      <c r="J140" s="32">
        <v>27058</v>
      </c>
      <c r="K140" s="32">
        <v>51814</v>
      </c>
      <c r="L140" s="32">
        <v>29289</v>
      </c>
      <c r="M140" s="32">
        <v>65247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f t="shared" si="30"/>
        <v>27997</v>
      </c>
      <c r="AE140" s="32">
        <f t="shared" si="25"/>
        <v>56754</v>
      </c>
      <c r="AF140" s="32">
        <f t="shared" si="26"/>
        <v>29350</v>
      </c>
      <c r="AG140" s="37">
        <f t="shared" si="27"/>
        <v>4.8</v>
      </c>
      <c r="AH140" s="32">
        <f t="shared" si="28"/>
        <v>65592</v>
      </c>
      <c r="AI140" s="37">
        <f t="shared" si="29"/>
        <v>15.6</v>
      </c>
    </row>
    <row r="141" spans="1:35" s="605" customFormat="1" ht="19.5" hidden="1" customHeight="1">
      <c r="A141" s="610" t="s">
        <v>50</v>
      </c>
      <c r="B141" s="32">
        <v>9699</v>
      </c>
      <c r="C141" s="32">
        <v>74564</v>
      </c>
      <c r="D141" s="32">
        <v>11911</v>
      </c>
      <c r="E141" s="32">
        <v>104216</v>
      </c>
      <c r="F141" s="32">
        <v>22</v>
      </c>
      <c r="G141" s="32">
        <v>85</v>
      </c>
      <c r="H141" s="32">
        <v>27</v>
      </c>
      <c r="I141" s="32">
        <v>322</v>
      </c>
      <c r="J141" s="32">
        <v>13460</v>
      </c>
      <c r="K141" s="32">
        <v>24642</v>
      </c>
      <c r="L141" s="32">
        <v>17762</v>
      </c>
      <c r="M141" s="32">
        <v>35154</v>
      </c>
      <c r="N141" s="32">
        <v>40</v>
      </c>
      <c r="O141" s="32">
        <v>69</v>
      </c>
      <c r="P141" s="32">
        <v>1029</v>
      </c>
      <c r="Q141" s="32">
        <v>2164</v>
      </c>
      <c r="R141" s="32">
        <v>0</v>
      </c>
      <c r="S141" s="32">
        <v>10</v>
      </c>
      <c r="T141" s="32">
        <v>0</v>
      </c>
      <c r="U141" s="32">
        <v>10</v>
      </c>
      <c r="V141" s="32">
        <v>5</v>
      </c>
      <c r="W141" s="32">
        <v>129</v>
      </c>
      <c r="X141" s="32">
        <v>3</v>
      </c>
      <c r="Y141" s="32">
        <v>146</v>
      </c>
      <c r="Z141" s="32">
        <v>328</v>
      </c>
      <c r="AA141" s="32">
        <v>3381</v>
      </c>
      <c r="AB141" s="32">
        <v>1211</v>
      </c>
      <c r="AC141" s="32">
        <v>5834</v>
      </c>
      <c r="AD141" s="32">
        <f t="shared" si="30"/>
        <v>23554</v>
      </c>
      <c r="AE141" s="32">
        <f t="shared" si="25"/>
        <v>102880</v>
      </c>
      <c r="AF141" s="32">
        <f t="shared" si="26"/>
        <v>31943</v>
      </c>
      <c r="AG141" s="37">
        <f t="shared" si="27"/>
        <v>35.6</v>
      </c>
      <c r="AH141" s="32">
        <f t="shared" si="28"/>
        <v>147846</v>
      </c>
      <c r="AI141" s="37">
        <f t="shared" si="29"/>
        <v>43.7</v>
      </c>
    </row>
    <row r="142" spans="1:35" s="605" customFormat="1" ht="19.5" hidden="1" customHeight="1">
      <c r="A142" s="610" t="s">
        <v>570</v>
      </c>
      <c r="B142" s="32">
        <v>22263</v>
      </c>
      <c r="C142" s="32">
        <v>124690</v>
      </c>
      <c r="D142" s="32">
        <v>33411</v>
      </c>
      <c r="E142" s="32">
        <v>278098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683</v>
      </c>
      <c r="AA142" s="32">
        <v>4338</v>
      </c>
      <c r="AB142" s="32">
        <v>978</v>
      </c>
      <c r="AC142" s="32">
        <v>7899</v>
      </c>
      <c r="AD142" s="32">
        <f t="shared" si="30"/>
        <v>22946</v>
      </c>
      <c r="AE142" s="32">
        <f t="shared" si="25"/>
        <v>129028</v>
      </c>
      <c r="AF142" s="32">
        <f t="shared" si="26"/>
        <v>34389</v>
      </c>
      <c r="AG142" s="37">
        <f t="shared" si="27"/>
        <v>49.9</v>
      </c>
      <c r="AH142" s="32">
        <f t="shared" si="28"/>
        <v>285997</v>
      </c>
      <c r="AI142" s="37">
        <f t="shared" si="29"/>
        <v>121.7</v>
      </c>
    </row>
    <row r="143" spans="1:35" s="605" customFormat="1" ht="19.5" hidden="1" customHeight="1">
      <c r="A143" s="610" t="s">
        <v>83</v>
      </c>
      <c r="B143" s="32">
        <v>428</v>
      </c>
      <c r="C143" s="32">
        <v>2305</v>
      </c>
      <c r="D143" s="32">
        <v>314</v>
      </c>
      <c r="E143" s="32">
        <v>2426</v>
      </c>
      <c r="F143" s="32">
        <v>0</v>
      </c>
      <c r="G143" s="32">
        <v>0</v>
      </c>
      <c r="H143" s="32">
        <v>0</v>
      </c>
      <c r="I143" s="32">
        <v>0</v>
      </c>
      <c r="J143" s="32">
        <v>15912</v>
      </c>
      <c r="K143" s="32">
        <v>30007</v>
      </c>
      <c r="L143" s="32">
        <v>22069</v>
      </c>
      <c r="M143" s="32">
        <v>49317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f t="shared" si="30"/>
        <v>16340</v>
      </c>
      <c r="AE143" s="32">
        <f t="shared" si="25"/>
        <v>32312</v>
      </c>
      <c r="AF143" s="32">
        <f t="shared" si="26"/>
        <v>22383</v>
      </c>
      <c r="AG143" s="37">
        <f t="shared" si="27"/>
        <v>37</v>
      </c>
      <c r="AH143" s="32">
        <f t="shared" si="28"/>
        <v>51743</v>
      </c>
      <c r="AI143" s="37">
        <f t="shared" si="29"/>
        <v>60.1</v>
      </c>
    </row>
    <row r="144" spans="1:35" s="605" customFormat="1" ht="19.5" hidden="1" customHeight="1">
      <c r="A144" s="610" t="s">
        <v>58</v>
      </c>
      <c r="B144" s="32">
        <v>5048</v>
      </c>
      <c r="C144" s="32">
        <v>18133</v>
      </c>
      <c r="D144" s="32">
        <v>6504</v>
      </c>
      <c r="E144" s="32">
        <v>51740</v>
      </c>
      <c r="F144" s="32">
        <v>6</v>
      </c>
      <c r="G144" s="32">
        <v>612</v>
      </c>
      <c r="H144" s="32">
        <v>1</v>
      </c>
      <c r="I144" s="32">
        <v>60</v>
      </c>
      <c r="J144" s="32">
        <v>12372</v>
      </c>
      <c r="K144" s="32">
        <v>15631</v>
      </c>
      <c r="L144" s="32">
        <v>10410</v>
      </c>
      <c r="M144" s="32">
        <v>16675</v>
      </c>
      <c r="N144" s="32">
        <v>64</v>
      </c>
      <c r="O144" s="32">
        <v>140</v>
      </c>
      <c r="P144" s="32">
        <v>3153</v>
      </c>
      <c r="Q144" s="32">
        <v>6809</v>
      </c>
      <c r="R144" s="32">
        <v>0</v>
      </c>
      <c r="S144" s="32">
        <v>0</v>
      </c>
      <c r="T144" s="32">
        <v>18</v>
      </c>
      <c r="U144" s="32">
        <v>49</v>
      </c>
      <c r="V144" s="32">
        <v>0</v>
      </c>
      <c r="W144" s="32">
        <v>0</v>
      </c>
      <c r="X144" s="32">
        <v>0</v>
      </c>
      <c r="Y144" s="32">
        <v>0</v>
      </c>
      <c r="Z144" s="32">
        <v>25</v>
      </c>
      <c r="AA144" s="32">
        <v>371</v>
      </c>
      <c r="AB144" s="32">
        <v>136</v>
      </c>
      <c r="AC144" s="32">
        <v>439</v>
      </c>
      <c r="AD144" s="32">
        <f t="shared" si="30"/>
        <v>17515</v>
      </c>
      <c r="AE144" s="32">
        <f t="shared" si="25"/>
        <v>34887</v>
      </c>
      <c r="AF144" s="32">
        <f t="shared" si="26"/>
        <v>20222</v>
      </c>
      <c r="AG144" s="37">
        <f t="shared" si="27"/>
        <v>15.5</v>
      </c>
      <c r="AH144" s="32">
        <f t="shared" si="28"/>
        <v>75772</v>
      </c>
      <c r="AI144" s="37">
        <f t="shared" si="29"/>
        <v>117.2</v>
      </c>
    </row>
    <row r="145" spans="1:35" s="605" customFormat="1" ht="19.5" hidden="1" customHeight="1">
      <c r="A145" s="610" t="s">
        <v>84</v>
      </c>
      <c r="B145" s="32">
        <v>380</v>
      </c>
      <c r="C145" s="32">
        <v>2013</v>
      </c>
      <c r="D145" s="32">
        <v>624</v>
      </c>
      <c r="E145" s="32">
        <v>4511</v>
      </c>
      <c r="F145" s="32">
        <v>0</v>
      </c>
      <c r="G145" s="32">
        <v>0</v>
      </c>
      <c r="H145" s="32">
        <v>0</v>
      </c>
      <c r="I145" s="32">
        <v>0</v>
      </c>
      <c r="J145" s="32">
        <v>23524</v>
      </c>
      <c r="K145" s="32">
        <v>44278</v>
      </c>
      <c r="L145" s="32">
        <v>29733</v>
      </c>
      <c r="M145" s="32">
        <v>63831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f t="shared" si="30"/>
        <v>23904</v>
      </c>
      <c r="AE145" s="32">
        <f t="shared" si="25"/>
        <v>46291</v>
      </c>
      <c r="AF145" s="32">
        <f t="shared" si="26"/>
        <v>30357</v>
      </c>
      <c r="AG145" s="37">
        <f t="shared" si="27"/>
        <v>27</v>
      </c>
      <c r="AH145" s="32">
        <f t="shared" si="28"/>
        <v>68342</v>
      </c>
      <c r="AI145" s="37">
        <f t="shared" si="29"/>
        <v>47.6</v>
      </c>
    </row>
    <row r="146" spans="1:35" s="605" customFormat="1" ht="19.5" hidden="1" customHeight="1">
      <c r="A146" s="610" t="s">
        <v>65</v>
      </c>
      <c r="B146" s="32">
        <v>1830</v>
      </c>
      <c r="C146" s="32">
        <v>8901</v>
      </c>
      <c r="D146" s="32">
        <v>2514</v>
      </c>
      <c r="E146" s="32">
        <v>14117</v>
      </c>
      <c r="F146" s="32">
        <v>1595</v>
      </c>
      <c r="G146" s="32">
        <v>22591</v>
      </c>
      <c r="H146" s="32">
        <v>2153</v>
      </c>
      <c r="I146" s="32">
        <v>35254</v>
      </c>
      <c r="J146" s="32">
        <v>5600</v>
      </c>
      <c r="K146" s="32">
        <v>8863</v>
      </c>
      <c r="L146" s="32">
        <v>15012</v>
      </c>
      <c r="M146" s="32">
        <v>21429</v>
      </c>
      <c r="N146" s="32">
        <v>0</v>
      </c>
      <c r="O146" s="32">
        <v>0</v>
      </c>
      <c r="P146" s="32">
        <v>95</v>
      </c>
      <c r="Q146" s="32">
        <v>186</v>
      </c>
      <c r="R146" s="32">
        <v>981</v>
      </c>
      <c r="S146" s="32">
        <v>2008</v>
      </c>
      <c r="T146" s="32">
        <v>4857</v>
      </c>
      <c r="U146" s="32">
        <v>14162</v>
      </c>
      <c r="V146" s="32">
        <v>0</v>
      </c>
      <c r="W146" s="32">
        <v>19</v>
      </c>
      <c r="X146" s="32">
        <v>1</v>
      </c>
      <c r="Y146" s="32">
        <v>88</v>
      </c>
      <c r="Z146" s="32">
        <v>51</v>
      </c>
      <c r="AA146" s="32">
        <v>2433</v>
      </c>
      <c r="AB146" s="32">
        <v>116</v>
      </c>
      <c r="AC146" s="32">
        <v>6432</v>
      </c>
      <c r="AD146" s="32">
        <f t="shared" si="30"/>
        <v>10057</v>
      </c>
      <c r="AE146" s="32">
        <f t="shared" si="25"/>
        <v>44815</v>
      </c>
      <c r="AF146" s="32">
        <f t="shared" si="26"/>
        <v>24748</v>
      </c>
      <c r="AG146" s="37">
        <f t="shared" si="27"/>
        <v>146.1</v>
      </c>
      <c r="AH146" s="32">
        <f t="shared" si="28"/>
        <v>91668</v>
      </c>
      <c r="AI146" s="37">
        <f t="shared" si="29"/>
        <v>104.5</v>
      </c>
    </row>
    <row r="147" spans="1:35" s="605" customFormat="1" ht="19.5" hidden="1" customHeight="1">
      <c r="A147" s="610" t="s">
        <v>52</v>
      </c>
      <c r="B147" s="32">
        <v>8038</v>
      </c>
      <c r="C147" s="32">
        <v>47696</v>
      </c>
      <c r="D147" s="32">
        <v>12936</v>
      </c>
      <c r="E147" s="32">
        <v>100487</v>
      </c>
      <c r="F147" s="32">
        <v>17</v>
      </c>
      <c r="G147" s="32">
        <v>236</v>
      </c>
      <c r="H147" s="32">
        <v>463</v>
      </c>
      <c r="I147" s="32">
        <v>389</v>
      </c>
      <c r="J147" s="32">
        <v>7499</v>
      </c>
      <c r="K147" s="32">
        <v>8985</v>
      </c>
      <c r="L147" s="32">
        <v>9527</v>
      </c>
      <c r="M147" s="32">
        <v>15256</v>
      </c>
      <c r="N147" s="32">
        <v>1091</v>
      </c>
      <c r="O147" s="32">
        <v>1972</v>
      </c>
      <c r="P147" s="32">
        <v>773</v>
      </c>
      <c r="Q147" s="32">
        <v>1516</v>
      </c>
      <c r="R147" s="32">
        <v>7</v>
      </c>
      <c r="S147" s="32">
        <v>15</v>
      </c>
      <c r="T147" s="32">
        <v>7</v>
      </c>
      <c r="U147" s="32">
        <v>17</v>
      </c>
      <c r="V147" s="32">
        <v>1</v>
      </c>
      <c r="W147" s="32">
        <v>25</v>
      </c>
      <c r="X147" s="32">
        <v>0</v>
      </c>
      <c r="Y147" s="32">
        <v>13</v>
      </c>
      <c r="Z147" s="32">
        <v>1</v>
      </c>
      <c r="AA147" s="32">
        <v>105</v>
      </c>
      <c r="AB147" s="32">
        <v>1</v>
      </c>
      <c r="AC147" s="32">
        <v>92</v>
      </c>
      <c r="AD147" s="32">
        <f t="shared" si="30"/>
        <v>16654</v>
      </c>
      <c r="AE147" s="32">
        <f t="shared" si="25"/>
        <v>59034</v>
      </c>
      <c r="AF147" s="32">
        <f t="shared" si="26"/>
        <v>23707</v>
      </c>
      <c r="AG147" s="37">
        <f t="shared" si="27"/>
        <v>42.4</v>
      </c>
      <c r="AH147" s="32">
        <f t="shared" si="28"/>
        <v>117770</v>
      </c>
      <c r="AI147" s="37">
        <f t="shared" si="29"/>
        <v>99.5</v>
      </c>
    </row>
    <row r="148" spans="1:35" s="605" customFormat="1" ht="19.5" hidden="1" customHeight="1">
      <c r="A148" s="610" t="s">
        <v>64</v>
      </c>
      <c r="B148" s="32">
        <v>1382</v>
      </c>
      <c r="C148" s="32">
        <v>8520</v>
      </c>
      <c r="D148" s="32">
        <v>1552</v>
      </c>
      <c r="E148" s="32">
        <v>11762</v>
      </c>
      <c r="F148" s="32">
        <v>130</v>
      </c>
      <c r="G148" s="32">
        <v>3428</v>
      </c>
      <c r="H148" s="32">
        <v>139</v>
      </c>
      <c r="I148" s="32">
        <v>3505</v>
      </c>
      <c r="J148" s="32">
        <v>8417</v>
      </c>
      <c r="K148" s="32">
        <v>14209</v>
      </c>
      <c r="L148" s="32">
        <v>13155</v>
      </c>
      <c r="M148" s="32">
        <v>25031</v>
      </c>
      <c r="N148" s="32">
        <v>3</v>
      </c>
      <c r="O148" s="32">
        <v>23</v>
      </c>
      <c r="P148" s="32">
        <v>0</v>
      </c>
      <c r="Q148" s="32">
        <v>1</v>
      </c>
      <c r="R148" s="32">
        <v>1</v>
      </c>
      <c r="S148" s="32">
        <v>29</v>
      </c>
      <c r="T148" s="32">
        <v>1</v>
      </c>
      <c r="U148" s="32">
        <v>36</v>
      </c>
      <c r="V148" s="32">
        <v>6</v>
      </c>
      <c r="W148" s="32">
        <v>125</v>
      </c>
      <c r="X148" s="32">
        <v>7</v>
      </c>
      <c r="Y148" s="32">
        <v>151</v>
      </c>
      <c r="Z148" s="32">
        <v>306</v>
      </c>
      <c r="AA148" s="32">
        <v>4618</v>
      </c>
      <c r="AB148" s="32">
        <v>461</v>
      </c>
      <c r="AC148" s="32">
        <v>4446</v>
      </c>
      <c r="AD148" s="32">
        <f t="shared" si="30"/>
        <v>10245</v>
      </c>
      <c r="AE148" s="32">
        <f t="shared" si="25"/>
        <v>30952</v>
      </c>
      <c r="AF148" s="32">
        <f t="shared" si="26"/>
        <v>15315</v>
      </c>
      <c r="AG148" s="37">
        <f t="shared" si="27"/>
        <v>49.5</v>
      </c>
      <c r="AH148" s="32">
        <f t="shared" si="28"/>
        <v>44932</v>
      </c>
      <c r="AI148" s="37">
        <f t="shared" si="29"/>
        <v>45.2</v>
      </c>
    </row>
    <row r="149" spans="1:35" s="605" customFormat="1" ht="19.5" hidden="1" customHeight="1">
      <c r="A149" s="610" t="s">
        <v>51</v>
      </c>
      <c r="B149" s="32">
        <v>4391</v>
      </c>
      <c r="C149" s="32">
        <v>22972</v>
      </c>
      <c r="D149" s="32">
        <v>3892</v>
      </c>
      <c r="E149" s="32">
        <v>29163</v>
      </c>
      <c r="F149" s="32">
        <v>661</v>
      </c>
      <c r="G149" s="32">
        <v>7055</v>
      </c>
      <c r="H149" s="32">
        <v>1203</v>
      </c>
      <c r="I149" s="32">
        <v>13792</v>
      </c>
      <c r="J149" s="32">
        <v>3619</v>
      </c>
      <c r="K149" s="32">
        <v>5570</v>
      </c>
      <c r="L149" s="32">
        <v>2584</v>
      </c>
      <c r="M149" s="32">
        <v>4532</v>
      </c>
      <c r="N149" s="32">
        <v>100</v>
      </c>
      <c r="O149" s="32">
        <v>903</v>
      </c>
      <c r="P149" s="32">
        <v>84</v>
      </c>
      <c r="Q149" s="32">
        <v>970</v>
      </c>
      <c r="R149" s="32">
        <v>0</v>
      </c>
      <c r="S149" s="32">
        <v>0</v>
      </c>
      <c r="T149" s="32">
        <v>121</v>
      </c>
      <c r="U149" s="32">
        <v>305</v>
      </c>
      <c r="V149" s="32">
        <v>3655</v>
      </c>
      <c r="W149" s="32">
        <v>61830</v>
      </c>
      <c r="X149" s="32">
        <v>2898</v>
      </c>
      <c r="Y149" s="32">
        <v>68545</v>
      </c>
      <c r="Z149" s="32">
        <v>75</v>
      </c>
      <c r="AA149" s="32">
        <v>328</v>
      </c>
      <c r="AB149" s="32">
        <v>76</v>
      </c>
      <c r="AC149" s="32">
        <v>102</v>
      </c>
      <c r="AD149" s="32">
        <f t="shared" si="30"/>
        <v>12501</v>
      </c>
      <c r="AE149" s="32">
        <f t="shared" si="25"/>
        <v>98658</v>
      </c>
      <c r="AF149" s="32">
        <f t="shared" si="26"/>
        <v>10858</v>
      </c>
      <c r="AG149" s="37">
        <f t="shared" si="27"/>
        <v>-13.1</v>
      </c>
      <c r="AH149" s="32">
        <f t="shared" si="28"/>
        <v>117409</v>
      </c>
      <c r="AI149" s="37">
        <f t="shared" si="29"/>
        <v>19</v>
      </c>
    </row>
    <row r="150" spans="1:35" s="605" customFormat="1" ht="19.5" hidden="1" customHeight="1">
      <c r="A150" s="610" t="s">
        <v>61</v>
      </c>
      <c r="B150" s="32">
        <v>3005</v>
      </c>
      <c r="C150" s="32">
        <v>21906</v>
      </c>
      <c r="D150" s="32">
        <v>2675</v>
      </c>
      <c r="E150" s="32">
        <v>23707</v>
      </c>
      <c r="F150" s="32">
        <v>279</v>
      </c>
      <c r="G150" s="32">
        <v>9157</v>
      </c>
      <c r="H150" s="32">
        <v>276</v>
      </c>
      <c r="I150" s="32">
        <v>9090</v>
      </c>
      <c r="J150" s="32">
        <v>7719</v>
      </c>
      <c r="K150" s="32">
        <v>45480</v>
      </c>
      <c r="L150" s="32">
        <v>7773</v>
      </c>
      <c r="M150" s="32">
        <v>37491</v>
      </c>
      <c r="N150" s="32">
        <v>65</v>
      </c>
      <c r="O150" s="32">
        <v>430</v>
      </c>
      <c r="P150" s="32">
        <v>89</v>
      </c>
      <c r="Q150" s="32">
        <v>384</v>
      </c>
      <c r="R150" s="32">
        <v>346</v>
      </c>
      <c r="S150" s="32">
        <v>1426</v>
      </c>
      <c r="T150" s="32">
        <v>340</v>
      </c>
      <c r="U150" s="32">
        <v>1522</v>
      </c>
      <c r="V150" s="32">
        <v>11</v>
      </c>
      <c r="W150" s="32">
        <v>259</v>
      </c>
      <c r="X150" s="32">
        <v>5</v>
      </c>
      <c r="Y150" s="32">
        <v>128</v>
      </c>
      <c r="Z150" s="32">
        <v>274</v>
      </c>
      <c r="AA150" s="32">
        <v>8543</v>
      </c>
      <c r="AB150" s="32">
        <v>266</v>
      </c>
      <c r="AC150" s="32">
        <v>6396</v>
      </c>
      <c r="AD150" s="32">
        <f t="shared" si="30"/>
        <v>11699</v>
      </c>
      <c r="AE150" s="32">
        <f t="shared" si="25"/>
        <v>87201</v>
      </c>
      <c r="AF150" s="32">
        <f t="shared" si="26"/>
        <v>11424</v>
      </c>
      <c r="AG150" s="37">
        <f t="shared" si="27"/>
        <v>-2.4</v>
      </c>
      <c r="AH150" s="32">
        <f t="shared" si="28"/>
        <v>78718</v>
      </c>
      <c r="AI150" s="37">
        <f t="shared" si="29"/>
        <v>-9.6999999999999993</v>
      </c>
    </row>
    <row r="151" spans="1:35" s="605" customFormat="1" ht="19.5" hidden="1" customHeight="1">
      <c r="A151" s="610" t="s">
        <v>53</v>
      </c>
      <c r="B151" s="32">
        <v>4259</v>
      </c>
      <c r="C151" s="32">
        <v>11833</v>
      </c>
      <c r="D151" s="32">
        <v>4190</v>
      </c>
      <c r="E151" s="32">
        <v>17057</v>
      </c>
      <c r="F151" s="32">
        <v>0</v>
      </c>
      <c r="G151" s="32">
        <v>4</v>
      </c>
      <c r="H151" s="32">
        <v>40</v>
      </c>
      <c r="I151" s="32">
        <v>212</v>
      </c>
      <c r="J151" s="32">
        <v>3973</v>
      </c>
      <c r="K151" s="32">
        <v>5054</v>
      </c>
      <c r="L151" s="32">
        <v>3557</v>
      </c>
      <c r="M151" s="32">
        <v>6226</v>
      </c>
      <c r="N151" s="32">
        <v>1</v>
      </c>
      <c r="O151" s="32">
        <v>1</v>
      </c>
      <c r="P151" s="32">
        <v>92</v>
      </c>
      <c r="Q151" s="32">
        <v>175</v>
      </c>
      <c r="R151" s="32">
        <v>0</v>
      </c>
      <c r="S151" s="32">
        <v>71</v>
      </c>
      <c r="T151" s="32">
        <v>0</v>
      </c>
      <c r="U151" s="32">
        <v>1</v>
      </c>
      <c r="V151" s="32">
        <v>0</v>
      </c>
      <c r="W151" s="32">
        <v>0</v>
      </c>
      <c r="X151" s="32">
        <v>0</v>
      </c>
      <c r="Y151" s="32">
        <v>2</v>
      </c>
      <c r="Z151" s="32">
        <v>31</v>
      </c>
      <c r="AA151" s="32">
        <v>367</v>
      </c>
      <c r="AB151" s="32">
        <v>6</v>
      </c>
      <c r="AC151" s="32">
        <v>948</v>
      </c>
      <c r="AD151" s="32">
        <f t="shared" si="30"/>
        <v>8264</v>
      </c>
      <c r="AE151" s="32">
        <f t="shared" si="25"/>
        <v>17330</v>
      </c>
      <c r="AF151" s="32">
        <f t="shared" si="26"/>
        <v>7885</v>
      </c>
      <c r="AG151" s="37">
        <f t="shared" si="27"/>
        <v>-4.5999999999999996</v>
      </c>
      <c r="AH151" s="32">
        <f t="shared" si="28"/>
        <v>24621</v>
      </c>
      <c r="AI151" s="37">
        <f t="shared" si="29"/>
        <v>42.1</v>
      </c>
    </row>
    <row r="152" spans="1:35" s="605" customFormat="1" ht="19.5" hidden="1" customHeight="1">
      <c r="A152" s="610" t="s">
        <v>85</v>
      </c>
      <c r="B152" s="32">
        <v>2773</v>
      </c>
      <c r="C152" s="32">
        <v>14046</v>
      </c>
      <c r="D152" s="32">
        <v>2706</v>
      </c>
      <c r="E152" s="32">
        <v>18370</v>
      </c>
      <c r="F152" s="32">
        <v>0</v>
      </c>
      <c r="G152" s="32">
        <v>13</v>
      </c>
      <c r="H152" s="32">
        <v>0</v>
      </c>
      <c r="I152" s="32">
        <v>0</v>
      </c>
      <c r="J152" s="32">
        <v>4493</v>
      </c>
      <c r="K152" s="32">
        <v>5732</v>
      </c>
      <c r="L152" s="32">
        <v>9371</v>
      </c>
      <c r="M152" s="32">
        <v>14285</v>
      </c>
      <c r="N152" s="32">
        <v>0</v>
      </c>
      <c r="O152" s="32">
        <v>2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4</v>
      </c>
      <c r="AA152" s="32">
        <v>15</v>
      </c>
      <c r="AB152" s="32">
        <v>0</v>
      </c>
      <c r="AC152" s="32">
        <v>33</v>
      </c>
      <c r="AD152" s="32">
        <f t="shared" si="30"/>
        <v>7270</v>
      </c>
      <c r="AE152" s="32">
        <f t="shared" si="25"/>
        <v>19808</v>
      </c>
      <c r="AF152" s="32">
        <f t="shared" si="26"/>
        <v>12077</v>
      </c>
      <c r="AG152" s="37">
        <f t="shared" si="27"/>
        <v>66.099999999999994</v>
      </c>
      <c r="AH152" s="32">
        <f t="shared" si="28"/>
        <v>32688</v>
      </c>
      <c r="AI152" s="37">
        <f t="shared" si="29"/>
        <v>65</v>
      </c>
    </row>
    <row r="153" spans="1:35" s="605" customFormat="1" ht="19.5" hidden="1" customHeight="1">
      <c r="A153" s="610" t="s">
        <v>81</v>
      </c>
      <c r="B153" s="32">
        <v>3510</v>
      </c>
      <c r="C153" s="32">
        <v>17658</v>
      </c>
      <c r="D153" s="32">
        <v>954</v>
      </c>
      <c r="E153" s="32">
        <v>6330</v>
      </c>
      <c r="F153" s="32">
        <v>0</v>
      </c>
      <c r="G153" s="32">
        <v>0</v>
      </c>
      <c r="H153" s="32">
        <v>0</v>
      </c>
      <c r="I153" s="32">
        <v>0</v>
      </c>
      <c r="J153" s="32">
        <v>746</v>
      </c>
      <c r="K153" s="32">
        <v>1077</v>
      </c>
      <c r="L153" s="32">
        <v>0</v>
      </c>
      <c r="M153" s="32">
        <v>0</v>
      </c>
      <c r="N153" s="32">
        <v>3438</v>
      </c>
      <c r="O153" s="32">
        <v>6334</v>
      </c>
      <c r="P153" s="32">
        <v>2938</v>
      </c>
      <c r="Q153" s="32">
        <v>5841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f t="shared" si="30"/>
        <v>7694</v>
      </c>
      <c r="AE153" s="32">
        <f t="shared" si="25"/>
        <v>25069</v>
      </c>
      <c r="AF153" s="32">
        <f t="shared" si="26"/>
        <v>3892</v>
      </c>
      <c r="AG153" s="37">
        <f t="shared" si="27"/>
        <v>-49.4</v>
      </c>
      <c r="AH153" s="32">
        <f t="shared" si="28"/>
        <v>12171</v>
      </c>
      <c r="AI153" s="37">
        <f t="shared" si="29"/>
        <v>-51.4</v>
      </c>
    </row>
    <row r="154" spans="1:35" s="605" customFormat="1" ht="19.5" hidden="1" customHeight="1">
      <c r="A154" s="610" t="s">
        <v>82</v>
      </c>
      <c r="B154" s="32">
        <v>5436</v>
      </c>
      <c r="C154" s="32">
        <v>7581</v>
      </c>
      <c r="D154" s="32">
        <v>1865</v>
      </c>
      <c r="E154" s="32">
        <v>14318</v>
      </c>
      <c r="F154" s="32">
        <v>88</v>
      </c>
      <c r="G154" s="32">
        <v>1407</v>
      </c>
      <c r="H154" s="32">
        <v>76</v>
      </c>
      <c r="I154" s="32">
        <v>1397</v>
      </c>
      <c r="J154" s="32">
        <v>4057</v>
      </c>
      <c r="K154" s="32">
        <v>6852</v>
      </c>
      <c r="L154" s="32">
        <v>6010</v>
      </c>
      <c r="M154" s="32">
        <v>9883</v>
      </c>
      <c r="N154" s="32">
        <v>1</v>
      </c>
      <c r="O154" s="32">
        <v>1</v>
      </c>
      <c r="P154" s="32">
        <v>1</v>
      </c>
      <c r="Q154" s="32">
        <v>2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82</v>
      </c>
      <c r="AA154" s="32">
        <v>423</v>
      </c>
      <c r="AB154" s="32">
        <v>24</v>
      </c>
      <c r="AC154" s="32">
        <v>330</v>
      </c>
      <c r="AD154" s="32">
        <f t="shared" si="30"/>
        <v>9664</v>
      </c>
      <c r="AE154" s="32">
        <f t="shared" si="25"/>
        <v>16264</v>
      </c>
      <c r="AF154" s="32">
        <f t="shared" si="26"/>
        <v>7976</v>
      </c>
      <c r="AG154" s="37">
        <f t="shared" si="27"/>
        <v>-17.5</v>
      </c>
      <c r="AH154" s="32">
        <f t="shared" si="28"/>
        <v>25930</v>
      </c>
      <c r="AI154" s="37">
        <f t="shared" si="29"/>
        <v>59.4</v>
      </c>
    </row>
    <row r="155" spans="1:35" s="605" customFormat="1" ht="19.5" hidden="1" customHeight="1">
      <c r="A155" s="610" t="s">
        <v>505</v>
      </c>
      <c r="B155" s="32">
        <v>5207</v>
      </c>
      <c r="C155" s="32">
        <v>23860</v>
      </c>
      <c r="D155" s="32">
        <v>2926</v>
      </c>
      <c r="E155" s="32">
        <v>38489</v>
      </c>
      <c r="F155" s="32">
        <v>0</v>
      </c>
      <c r="G155" s="32">
        <v>0</v>
      </c>
      <c r="H155" s="32">
        <v>0</v>
      </c>
      <c r="I155" s="32">
        <v>0</v>
      </c>
      <c r="J155" s="32">
        <v>1252</v>
      </c>
      <c r="K155" s="32">
        <v>1275</v>
      </c>
      <c r="L155" s="32">
        <v>1065</v>
      </c>
      <c r="M155" s="32">
        <v>1541</v>
      </c>
      <c r="N155" s="32">
        <v>0</v>
      </c>
      <c r="O155" s="32">
        <v>0</v>
      </c>
      <c r="P155" s="32">
        <v>136</v>
      </c>
      <c r="Q155" s="32">
        <v>307</v>
      </c>
      <c r="R155" s="32">
        <v>2610</v>
      </c>
      <c r="S155" s="32">
        <v>5945</v>
      </c>
      <c r="T155" s="32">
        <v>1015</v>
      </c>
      <c r="U155" s="32">
        <v>2975</v>
      </c>
      <c r="V155" s="32">
        <v>11</v>
      </c>
      <c r="W155" s="32">
        <v>186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f t="shared" si="30"/>
        <v>9080</v>
      </c>
      <c r="AE155" s="32">
        <f t="shared" si="25"/>
        <v>31266</v>
      </c>
      <c r="AF155" s="32">
        <f t="shared" si="26"/>
        <v>5142</v>
      </c>
      <c r="AG155" s="37">
        <f t="shared" si="27"/>
        <v>-43.4</v>
      </c>
      <c r="AH155" s="32">
        <f t="shared" si="28"/>
        <v>43312</v>
      </c>
      <c r="AI155" s="37">
        <f t="shared" si="29"/>
        <v>38.5</v>
      </c>
    </row>
    <row r="156" spans="1:35" s="605" customFormat="1" ht="19.5" hidden="1" customHeight="1">
      <c r="A156" s="610" t="s">
        <v>506</v>
      </c>
      <c r="B156" s="32">
        <v>0</v>
      </c>
      <c r="C156" s="32">
        <v>0</v>
      </c>
      <c r="D156" s="32">
        <v>19</v>
      </c>
      <c r="E156" s="32">
        <v>131</v>
      </c>
      <c r="F156" s="32">
        <v>0</v>
      </c>
      <c r="G156" s="32">
        <v>0</v>
      </c>
      <c r="H156" s="32">
        <v>0</v>
      </c>
      <c r="I156" s="32">
        <v>0</v>
      </c>
      <c r="J156" s="32">
        <v>5176</v>
      </c>
      <c r="K156" s="32">
        <v>6424</v>
      </c>
      <c r="L156" s="32">
        <v>3322</v>
      </c>
      <c r="M156" s="32">
        <v>4499</v>
      </c>
      <c r="N156" s="32">
        <v>384</v>
      </c>
      <c r="O156" s="32">
        <v>794</v>
      </c>
      <c r="P156" s="32">
        <v>375</v>
      </c>
      <c r="Q156" s="32">
        <v>827</v>
      </c>
      <c r="R156" s="32">
        <v>0</v>
      </c>
      <c r="S156" s="32">
        <v>0</v>
      </c>
      <c r="T156" s="32">
        <v>590</v>
      </c>
      <c r="U156" s="32">
        <v>1678</v>
      </c>
      <c r="V156" s="32">
        <v>0</v>
      </c>
      <c r="W156" s="32">
        <v>0</v>
      </c>
      <c r="X156" s="32">
        <v>0</v>
      </c>
      <c r="Y156" s="32">
        <v>0</v>
      </c>
      <c r="Z156" s="32">
        <v>20</v>
      </c>
      <c r="AA156" s="32">
        <v>109</v>
      </c>
      <c r="AB156" s="32">
        <v>177</v>
      </c>
      <c r="AC156" s="32">
        <v>1081</v>
      </c>
      <c r="AD156" s="32">
        <f t="shared" si="30"/>
        <v>5580</v>
      </c>
      <c r="AE156" s="32">
        <f t="shared" si="25"/>
        <v>7327</v>
      </c>
      <c r="AF156" s="32">
        <f t="shared" si="26"/>
        <v>4483</v>
      </c>
      <c r="AG156" s="37">
        <f t="shared" si="27"/>
        <v>-19.7</v>
      </c>
      <c r="AH156" s="32">
        <f t="shared" si="28"/>
        <v>8216</v>
      </c>
      <c r="AI156" s="37">
        <f t="shared" si="29"/>
        <v>12.1</v>
      </c>
    </row>
    <row r="157" spans="1:35" s="605" customFormat="1" ht="19.5" hidden="1" customHeight="1">
      <c r="A157" s="610" t="s">
        <v>233</v>
      </c>
      <c r="B157" s="32">
        <v>2044</v>
      </c>
      <c r="C157" s="32">
        <v>6571</v>
      </c>
      <c r="D157" s="32">
        <v>1156</v>
      </c>
      <c r="E157" s="32">
        <v>6310</v>
      </c>
      <c r="F157" s="32">
        <v>50</v>
      </c>
      <c r="G157" s="32">
        <v>1229</v>
      </c>
      <c r="H157" s="32">
        <v>442</v>
      </c>
      <c r="I157" s="32">
        <v>3665</v>
      </c>
      <c r="J157" s="32">
        <v>3385</v>
      </c>
      <c r="K157" s="32">
        <v>3911</v>
      </c>
      <c r="L157" s="32">
        <v>4698</v>
      </c>
      <c r="M157" s="32">
        <v>7198</v>
      </c>
      <c r="N157" s="32">
        <v>0</v>
      </c>
      <c r="O157" s="32">
        <v>0</v>
      </c>
      <c r="P157" s="32">
        <v>0</v>
      </c>
      <c r="Q157" s="32">
        <v>0</v>
      </c>
      <c r="R157" s="32">
        <v>314</v>
      </c>
      <c r="S157" s="32">
        <v>709</v>
      </c>
      <c r="T157" s="32">
        <v>169</v>
      </c>
      <c r="U157" s="32">
        <v>517</v>
      </c>
      <c r="V157" s="32">
        <v>150</v>
      </c>
      <c r="W157" s="32">
        <v>2601</v>
      </c>
      <c r="X157" s="32">
        <v>150</v>
      </c>
      <c r="Y157" s="32">
        <v>3878</v>
      </c>
      <c r="Z157" s="32">
        <v>46</v>
      </c>
      <c r="AA157" s="32">
        <v>2410</v>
      </c>
      <c r="AB157" s="32">
        <v>46</v>
      </c>
      <c r="AC157" s="32">
        <v>2926</v>
      </c>
      <c r="AD157" s="32">
        <f t="shared" si="30"/>
        <v>5989</v>
      </c>
      <c r="AE157" s="32">
        <f t="shared" si="25"/>
        <v>17431</v>
      </c>
      <c r="AF157" s="32">
        <f t="shared" si="26"/>
        <v>6661</v>
      </c>
      <c r="AG157" s="37">
        <f t="shared" si="27"/>
        <v>11.2</v>
      </c>
      <c r="AH157" s="32">
        <f t="shared" si="28"/>
        <v>24494</v>
      </c>
      <c r="AI157" s="37">
        <f t="shared" si="29"/>
        <v>40.5</v>
      </c>
    </row>
    <row r="158" spans="1:35" s="605" customFormat="1" ht="19.5" hidden="1" customHeight="1">
      <c r="A158" s="30" t="s">
        <v>71</v>
      </c>
      <c r="B158" s="33">
        <f t="shared" ref="B158:M158" si="31">B159-SUM(B128:B157)</f>
        <v>41346</v>
      </c>
      <c r="C158" s="33">
        <f t="shared" si="31"/>
        <v>223497</v>
      </c>
      <c r="D158" s="33">
        <f t="shared" si="31"/>
        <v>33095</v>
      </c>
      <c r="E158" s="33">
        <f t="shared" si="31"/>
        <v>243160</v>
      </c>
      <c r="F158" s="33">
        <f t="shared" si="31"/>
        <v>10907</v>
      </c>
      <c r="G158" s="33">
        <f t="shared" si="31"/>
        <v>201366</v>
      </c>
      <c r="H158" s="33">
        <f t="shared" si="31"/>
        <v>9325</v>
      </c>
      <c r="I158" s="33">
        <f t="shared" si="31"/>
        <v>200573</v>
      </c>
      <c r="J158" s="33">
        <f t="shared" si="31"/>
        <v>30301</v>
      </c>
      <c r="K158" s="33">
        <f t="shared" si="31"/>
        <v>86917</v>
      </c>
      <c r="L158" s="33">
        <f t="shared" si="31"/>
        <v>55427</v>
      </c>
      <c r="M158" s="33">
        <f t="shared" si="31"/>
        <v>130389</v>
      </c>
      <c r="N158" s="33">
        <f>N159-SUM(N128:N157)</f>
        <v>7879</v>
      </c>
      <c r="O158" s="33">
        <f>O159-SUM(O128:O157)</f>
        <v>14748</v>
      </c>
      <c r="P158" s="33">
        <f>P159-SUM(P128:P157)</f>
        <v>8877</v>
      </c>
      <c r="Q158" s="33">
        <f>Q159-SUM(Q128:Q157)</f>
        <v>17742</v>
      </c>
      <c r="R158" s="33">
        <f t="shared" ref="R158:X158" si="32">R159-SUM(R128:R157)</f>
        <v>1014</v>
      </c>
      <c r="S158" s="33">
        <f t="shared" si="32"/>
        <v>3983</v>
      </c>
      <c r="T158" s="33">
        <f t="shared" si="32"/>
        <v>464</v>
      </c>
      <c r="U158" s="33">
        <f t="shared" si="32"/>
        <v>2527</v>
      </c>
      <c r="V158" s="33">
        <f t="shared" si="32"/>
        <v>24</v>
      </c>
      <c r="W158" s="33">
        <f t="shared" si="32"/>
        <v>422</v>
      </c>
      <c r="X158" s="33">
        <f t="shared" si="32"/>
        <v>25</v>
      </c>
      <c r="Y158" s="33">
        <f>Y159-SUM(Y128:Y157)</f>
        <v>2014</v>
      </c>
      <c r="Z158" s="33">
        <f t="shared" ref="Z158:AF158" si="33">Z159-SUM(Z128:Z157)</f>
        <v>1876</v>
      </c>
      <c r="AA158" s="33">
        <f t="shared" si="33"/>
        <v>29916</v>
      </c>
      <c r="AB158" s="33">
        <f t="shared" si="33"/>
        <v>3430</v>
      </c>
      <c r="AC158" s="33">
        <f t="shared" si="33"/>
        <v>37718</v>
      </c>
      <c r="AD158" s="33">
        <f t="shared" si="33"/>
        <v>93347</v>
      </c>
      <c r="AE158" s="33">
        <f t="shared" si="33"/>
        <v>560849</v>
      </c>
      <c r="AF158" s="33">
        <f t="shared" si="33"/>
        <v>110643</v>
      </c>
      <c r="AG158" s="38">
        <f t="shared" si="27"/>
        <v>18.5</v>
      </c>
      <c r="AH158" s="33">
        <f>AH159-SUM(AH128:AH157)</f>
        <v>634123</v>
      </c>
      <c r="AI158" s="38">
        <f t="shared" si="29"/>
        <v>13.1</v>
      </c>
    </row>
    <row r="159" spans="1:35" s="605" customFormat="1" ht="19.5" hidden="1" customHeight="1">
      <c r="A159" s="31" t="s">
        <v>72</v>
      </c>
      <c r="B159" s="35">
        <v>293019</v>
      </c>
      <c r="C159" s="36">
        <v>1705100</v>
      </c>
      <c r="D159" s="36">
        <v>324560</v>
      </c>
      <c r="E159" s="36">
        <v>2652275</v>
      </c>
      <c r="F159" s="36">
        <v>19961</v>
      </c>
      <c r="G159" s="36">
        <v>343207</v>
      </c>
      <c r="H159" s="36">
        <v>23017</v>
      </c>
      <c r="I159" s="36">
        <v>436959</v>
      </c>
      <c r="J159" s="36">
        <v>951361</v>
      </c>
      <c r="K159" s="36">
        <v>1932008</v>
      </c>
      <c r="L159" s="36">
        <v>1059198</v>
      </c>
      <c r="M159" s="36">
        <v>2522218</v>
      </c>
      <c r="N159" s="36">
        <v>44178</v>
      </c>
      <c r="O159" s="36">
        <v>87821</v>
      </c>
      <c r="P159" s="36">
        <v>59229</v>
      </c>
      <c r="Q159" s="36">
        <v>121784</v>
      </c>
      <c r="R159" s="36">
        <v>19226</v>
      </c>
      <c r="S159" s="36">
        <v>48962</v>
      </c>
      <c r="T159" s="36">
        <v>14645</v>
      </c>
      <c r="U159" s="36">
        <v>44697</v>
      </c>
      <c r="V159" s="36">
        <v>5222</v>
      </c>
      <c r="W159" s="36">
        <v>92497</v>
      </c>
      <c r="X159" s="36">
        <v>5374</v>
      </c>
      <c r="Y159" s="36">
        <v>131991</v>
      </c>
      <c r="Z159" s="36">
        <v>49677</v>
      </c>
      <c r="AA159" s="36">
        <v>338651</v>
      </c>
      <c r="AB159" s="36">
        <v>53760</v>
      </c>
      <c r="AC159" s="36">
        <v>386415</v>
      </c>
      <c r="AD159" s="36">
        <f>SUM(B159+F159+J159+N159+R159+V159+Z159)</f>
        <v>1382644</v>
      </c>
      <c r="AE159" s="35">
        <f>SUM(C159+G159+K159+O159+S159+W159+AA159)</f>
        <v>4548246</v>
      </c>
      <c r="AF159" s="36">
        <f>SUM(D159+H159+L159+P159+T159+X159+AB159)</f>
        <v>1539783</v>
      </c>
      <c r="AG159" s="38">
        <f t="shared" si="27"/>
        <v>11.4</v>
      </c>
      <c r="AH159" s="35">
        <f>SUM(E159+I159+M159+Q159+U159+Y159+AC159)</f>
        <v>6296339</v>
      </c>
      <c r="AI159" s="38">
        <f t="shared" si="29"/>
        <v>38.4</v>
      </c>
    </row>
    <row r="160" spans="1:35" hidden="1"/>
    <row r="161" spans="1:35" s="605" customFormat="1" ht="22.5" customHeight="1">
      <c r="A161" s="736" t="s">
        <v>620</v>
      </c>
      <c r="B161" s="736"/>
      <c r="C161" s="736"/>
      <c r="D161" s="736"/>
      <c r="E161" s="736"/>
      <c r="F161" s="736"/>
      <c r="G161" s="736"/>
      <c r="H161" s="736"/>
      <c r="I161" s="736"/>
      <c r="J161" s="736"/>
      <c r="K161" s="736"/>
      <c r="L161" s="736"/>
      <c r="M161" s="736"/>
      <c r="N161" s="736"/>
      <c r="O161" s="736"/>
      <c r="P161" s="736"/>
      <c r="Q161" s="736"/>
      <c r="R161" s="736"/>
      <c r="S161" s="736"/>
      <c r="T161" s="736"/>
      <c r="U161" s="736"/>
      <c r="V161" s="736"/>
      <c r="W161" s="736"/>
      <c r="X161" s="736"/>
      <c r="Y161" s="736"/>
      <c r="Z161" s="736"/>
      <c r="AA161" s="736"/>
      <c r="AB161" s="736"/>
      <c r="AC161" s="736"/>
      <c r="AD161" s="736"/>
      <c r="AE161" s="736"/>
      <c r="AF161" s="736"/>
      <c r="AG161" s="736"/>
      <c r="AH161" s="736"/>
      <c r="AI161" s="736"/>
    </row>
    <row r="162" spans="1:35" s="605" customFormat="1" ht="16.5" customHeight="1">
      <c r="A162" s="726"/>
      <c r="B162" s="726"/>
      <c r="C162" s="726"/>
      <c r="D162" s="726"/>
      <c r="E162" s="726"/>
      <c r="F162" s="726"/>
      <c r="G162" s="726"/>
      <c r="H162" s="726"/>
      <c r="I162" s="726"/>
      <c r="J162" s="726"/>
      <c r="K162" s="726"/>
      <c r="L162" s="726"/>
      <c r="M162" s="726"/>
      <c r="N162" s="726"/>
      <c r="O162" s="726"/>
      <c r="P162" s="726"/>
      <c r="Q162" s="726"/>
      <c r="R162" s="726"/>
      <c r="S162" s="726"/>
      <c r="T162" s="726"/>
      <c r="U162" s="726"/>
      <c r="V162" s="726"/>
      <c r="W162" s="726"/>
      <c r="X162" s="726"/>
      <c r="Y162" s="726"/>
      <c r="Z162" s="726"/>
      <c r="AA162" s="726"/>
      <c r="AB162" s="726"/>
      <c r="AC162" s="726"/>
      <c r="AD162" s="726"/>
      <c r="AE162" s="726"/>
      <c r="AF162" s="726"/>
      <c r="AG162" s="726"/>
      <c r="AH162" s="726"/>
      <c r="AI162" s="726"/>
    </row>
    <row r="163" spans="1:35" s="605" customFormat="1">
      <c r="A163" s="20"/>
      <c r="B163" s="20"/>
      <c r="C163" s="21"/>
      <c r="D163" s="22"/>
      <c r="E163" s="34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164"/>
      <c r="W163" s="164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6" t="s">
        <v>0</v>
      </c>
    </row>
    <row r="164" spans="1:35" s="605" customFormat="1" ht="21.75" customHeight="1">
      <c r="A164" s="758" t="s">
        <v>36</v>
      </c>
      <c r="B164" s="765" t="s">
        <v>611</v>
      </c>
      <c r="C164" s="766"/>
      <c r="D164" s="766"/>
      <c r="E164" s="767"/>
      <c r="F164" s="765" t="s">
        <v>612</v>
      </c>
      <c r="G164" s="766"/>
      <c r="H164" s="766"/>
      <c r="I164" s="767"/>
      <c r="J164" s="765" t="s">
        <v>613</v>
      </c>
      <c r="K164" s="766"/>
      <c r="L164" s="766"/>
      <c r="M164" s="767"/>
      <c r="N164" s="765" t="s">
        <v>614</v>
      </c>
      <c r="O164" s="766"/>
      <c r="P164" s="766"/>
      <c r="Q164" s="767"/>
      <c r="R164" s="765" t="s">
        <v>615</v>
      </c>
      <c r="S164" s="766"/>
      <c r="T164" s="766"/>
      <c r="U164" s="767"/>
      <c r="V164" s="765" t="s">
        <v>616</v>
      </c>
      <c r="W164" s="766"/>
      <c r="X164" s="766"/>
      <c r="Y164" s="767"/>
      <c r="Z164" s="765" t="s">
        <v>617</v>
      </c>
      <c r="AA164" s="766"/>
      <c r="AB164" s="766"/>
      <c r="AC164" s="767"/>
      <c r="AD164" s="765" t="s">
        <v>618</v>
      </c>
      <c r="AE164" s="766"/>
      <c r="AF164" s="766"/>
      <c r="AG164" s="766"/>
      <c r="AH164" s="766"/>
      <c r="AI164" s="767"/>
    </row>
    <row r="165" spans="1:35" s="605" customFormat="1" ht="21" customHeight="1">
      <c r="A165" s="836"/>
      <c r="B165" s="765" t="s">
        <v>431</v>
      </c>
      <c r="C165" s="767"/>
      <c r="D165" s="765" t="s">
        <v>503</v>
      </c>
      <c r="E165" s="767"/>
      <c r="F165" s="765" t="s">
        <v>431</v>
      </c>
      <c r="G165" s="767"/>
      <c r="H165" s="765" t="s">
        <v>503</v>
      </c>
      <c r="I165" s="767"/>
      <c r="J165" s="765" t="s">
        <v>431</v>
      </c>
      <c r="K165" s="767"/>
      <c r="L165" s="765" t="s">
        <v>503</v>
      </c>
      <c r="M165" s="767"/>
      <c r="N165" s="765" t="s">
        <v>431</v>
      </c>
      <c r="O165" s="767"/>
      <c r="P165" s="765" t="s">
        <v>503</v>
      </c>
      <c r="Q165" s="767"/>
      <c r="R165" s="765" t="s">
        <v>431</v>
      </c>
      <c r="S165" s="767"/>
      <c r="T165" s="765" t="s">
        <v>503</v>
      </c>
      <c r="U165" s="767"/>
      <c r="V165" s="765" t="s">
        <v>431</v>
      </c>
      <c r="W165" s="767"/>
      <c r="X165" s="765" t="s">
        <v>503</v>
      </c>
      <c r="Y165" s="767"/>
      <c r="Z165" s="765" t="s">
        <v>431</v>
      </c>
      <c r="AA165" s="767"/>
      <c r="AB165" s="765" t="s">
        <v>503</v>
      </c>
      <c r="AC165" s="767"/>
      <c r="AD165" s="765" t="s">
        <v>431</v>
      </c>
      <c r="AE165" s="767"/>
      <c r="AF165" s="765" t="s">
        <v>503</v>
      </c>
      <c r="AG165" s="766"/>
      <c r="AH165" s="766"/>
      <c r="AI165" s="767"/>
    </row>
    <row r="166" spans="1:35" s="605" customFormat="1" ht="16.5" customHeight="1">
      <c r="A166" s="836"/>
      <c r="B166" s="758" t="s">
        <v>37</v>
      </c>
      <c r="C166" s="758" t="s">
        <v>38</v>
      </c>
      <c r="D166" s="758" t="s">
        <v>39</v>
      </c>
      <c r="E166" s="758" t="s">
        <v>38</v>
      </c>
      <c r="F166" s="758" t="s">
        <v>40</v>
      </c>
      <c r="G166" s="758" t="s">
        <v>38</v>
      </c>
      <c r="H166" s="758" t="s">
        <v>39</v>
      </c>
      <c r="I166" s="758" t="s">
        <v>38</v>
      </c>
      <c r="J166" s="758" t="s">
        <v>37</v>
      </c>
      <c r="K166" s="758" t="s">
        <v>38</v>
      </c>
      <c r="L166" s="758" t="s">
        <v>39</v>
      </c>
      <c r="M166" s="758" t="s">
        <v>38</v>
      </c>
      <c r="N166" s="758" t="s">
        <v>37</v>
      </c>
      <c r="O166" s="758" t="s">
        <v>38</v>
      </c>
      <c r="P166" s="758" t="s">
        <v>39</v>
      </c>
      <c r="Q166" s="758" t="s">
        <v>38</v>
      </c>
      <c r="R166" s="758" t="s">
        <v>37</v>
      </c>
      <c r="S166" s="758" t="s">
        <v>38</v>
      </c>
      <c r="T166" s="758" t="s">
        <v>39</v>
      </c>
      <c r="U166" s="758" t="s">
        <v>38</v>
      </c>
      <c r="V166" s="758" t="s">
        <v>37</v>
      </c>
      <c r="W166" s="758" t="s">
        <v>38</v>
      </c>
      <c r="X166" s="758" t="s">
        <v>41</v>
      </c>
      <c r="Y166" s="758" t="s">
        <v>38</v>
      </c>
      <c r="Z166" s="758" t="s">
        <v>37</v>
      </c>
      <c r="AA166" s="758" t="s">
        <v>38</v>
      </c>
      <c r="AB166" s="758" t="s">
        <v>39</v>
      </c>
      <c r="AC166" s="758" t="s">
        <v>38</v>
      </c>
      <c r="AD166" s="758" t="s">
        <v>37</v>
      </c>
      <c r="AE166" s="758" t="s">
        <v>38</v>
      </c>
      <c r="AF166" s="772" t="s">
        <v>39</v>
      </c>
      <c r="AG166" s="27"/>
      <c r="AH166" s="772" t="s">
        <v>38</v>
      </c>
      <c r="AI166" s="27"/>
    </row>
    <row r="167" spans="1:35" s="605" customFormat="1" ht="16.5" customHeight="1" thickBot="1">
      <c r="A167" s="835"/>
      <c r="B167" s="835"/>
      <c r="C167" s="835"/>
      <c r="D167" s="835"/>
      <c r="E167" s="835"/>
      <c r="F167" s="835"/>
      <c r="G167" s="835"/>
      <c r="H167" s="835"/>
      <c r="I167" s="835"/>
      <c r="J167" s="835"/>
      <c r="K167" s="835"/>
      <c r="L167" s="835"/>
      <c r="M167" s="835"/>
      <c r="N167" s="835"/>
      <c r="O167" s="835"/>
      <c r="P167" s="835"/>
      <c r="Q167" s="835"/>
      <c r="R167" s="835"/>
      <c r="S167" s="835"/>
      <c r="T167" s="835"/>
      <c r="U167" s="835"/>
      <c r="V167" s="835"/>
      <c r="W167" s="835"/>
      <c r="X167" s="835"/>
      <c r="Y167" s="835"/>
      <c r="Z167" s="835"/>
      <c r="AA167" s="835"/>
      <c r="AB167" s="835"/>
      <c r="AC167" s="835"/>
      <c r="AD167" s="835"/>
      <c r="AE167" s="835"/>
      <c r="AF167" s="834"/>
      <c r="AG167" s="28" t="s">
        <v>42</v>
      </c>
      <c r="AH167" s="834"/>
      <c r="AI167" s="28" t="s">
        <v>42</v>
      </c>
    </row>
    <row r="168" spans="1:35" s="605" customFormat="1" ht="19.5" customHeight="1" thickTop="1">
      <c r="A168" s="610" t="s">
        <v>43</v>
      </c>
      <c r="B168" s="32">
        <v>29030</v>
      </c>
      <c r="C168" s="32">
        <v>184049</v>
      </c>
      <c r="D168" s="32">
        <v>31740</v>
      </c>
      <c r="E168" s="32">
        <v>275402</v>
      </c>
      <c r="F168" s="32">
        <v>0</v>
      </c>
      <c r="G168" s="32">
        <v>0</v>
      </c>
      <c r="H168" s="32">
        <v>0</v>
      </c>
      <c r="I168" s="32">
        <v>0</v>
      </c>
      <c r="J168" s="32">
        <v>152183</v>
      </c>
      <c r="K168" s="32">
        <v>460092</v>
      </c>
      <c r="L168" s="32">
        <v>170730</v>
      </c>
      <c r="M168" s="32">
        <v>598004</v>
      </c>
      <c r="N168" s="32">
        <v>626</v>
      </c>
      <c r="O168" s="32">
        <v>1430</v>
      </c>
      <c r="P168" s="32">
        <v>28</v>
      </c>
      <c r="Q168" s="32">
        <v>285</v>
      </c>
      <c r="R168" s="32">
        <v>143</v>
      </c>
      <c r="S168" s="32">
        <v>2331</v>
      </c>
      <c r="T168" s="32">
        <v>163</v>
      </c>
      <c r="U168" s="32">
        <v>1862</v>
      </c>
      <c r="V168" s="32">
        <v>336</v>
      </c>
      <c r="W168" s="32">
        <v>4719</v>
      </c>
      <c r="X168" s="32">
        <v>1046</v>
      </c>
      <c r="Y168" s="32">
        <v>27909</v>
      </c>
      <c r="Z168" s="32">
        <v>53059</v>
      </c>
      <c r="AA168" s="32">
        <v>181051</v>
      </c>
      <c r="AB168" s="32">
        <v>52835</v>
      </c>
      <c r="AC168" s="32">
        <v>243073</v>
      </c>
      <c r="AD168" s="32">
        <f>SUM(B168+F168+J168+N168+R168+V168+Z168)</f>
        <v>235377</v>
      </c>
      <c r="AE168" s="32">
        <f>SUM(C168+G168+K168+O168+S168+W168+AA168)</f>
        <v>833672</v>
      </c>
      <c r="AF168" s="32">
        <f>SUM(D168+H168+L168+P168+T168+X168+AB168)</f>
        <v>256542</v>
      </c>
      <c r="AG168" s="37">
        <f>ROUND(((AF168/AD168-1)*100),1)</f>
        <v>9</v>
      </c>
      <c r="AH168" s="32">
        <f>SUM(E168+I168+M168+Q168+U168+Y168+AC168)</f>
        <v>1146535</v>
      </c>
      <c r="AI168" s="37">
        <f>ROUND(((AH168/AE168-1)*100),1)</f>
        <v>37.5</v>
      </c>
    </row>
    <row r="169" spans="1:35" s="605" customFormat="1" ht="19.5" customHeight="1">
      <c r="A169" s="610" t="s">
        <v>45</v>
      </c>
      <c r="B169" s="32">
        <v>1770</v>
      </c>
      <c r="C169" s="32">
        <v>3815</v>
      </c>
      <c r="D169" s="32">
        <v>6031</v>
      </c>
      <c r="E169" s="32">
        <v>17514</v>
      </c>
      <c r="F169" s="32">
        <v>69</v>
      </c>
      <c r="G169" s="32">
        <v>1189</v>
      </c>
      <c r="H169" s="32">
        <v>62</v>
      </c>
      <c r="I169" s="32">
        <v>1397</v>
      </c>
      <c r="J169" s="32">
        <v>186676</v>
      </c>
      <c r="K169" s="32">
        <v>325222</v>
      </c>
      <c r="L169" s="32">
        <v>269614</v>
      </c>
      <c r="M169" s="32">
        <v>621689</v>
      </c>
      <c r="N169" s="32">
        <v>17937</v>
      </c>
      <c r="O169" s="32">
        <v>37017</v>
      </c>
      <c r="P169" s="32">
        <v>32079</v>
      </c>
      <c r="Q169" s="32">
        <v>66170</v>
      </c>
      <c r="R169" s="32">
        <v>13847</v>
      </c>
      <c r="S169" s="32">
        <v>33578</v>
      </c>
      <c r="T169" s="32">
        <v>6906</v>
      </c>
      <c r="U169" s="32">
        <v>19866</v>
      </c>
      <c r="V169" s="32">
        <v>103</v>
      </c>
      <c r="W169" s="32">
        <v>998</v>
      </c>
      <c r="X169" s="32">
        <v>96</v>
      </c>
      <c r="Y169" s="32">
        <v>1277</v>
      </c>
      <c r="Z169" s="32">
        <v>95</v>
      </c>
      <c r="AA169" s="32">
        <v>606</v>
      </c>
      <c r="AB169" s="32">
        <v>208</v>
      </c>
      <c r="AC169" s="32">
        <v>1179</v>
      </c>
      <c r="AD169" s="32">
        <f>SUM(B169+F169+J169+N169+R169+V169+Z169)</f>
        <v>220497</v>
      </c>
      <c r="AE169" s="32">
        <f t="shared" ref="AE169:AE197" si="34">SUM(C169+G169+K169+O169+S169+W169+AA169)</f>
        <v>402425</v>
      </c>
      <c r="AF169" s="32">
        <f t="shared" ref="AF169:AF197" si="35">SUM(D169+H169+L169+P169+T169+X169+AB169)</f>
        <v>314996</v>
      </c>
      <c r="AG169" s="37">
        <f t="shared" ref="AG169:AG199" si="36">ROUND(((AF169/AD169-1)*100),1)</f>
        <v>42.9</v>
      </c>
      <c r="AH169" s="32">
        <f t="shared" ref="AH169:AH197" si="37">SUM(E169+I169+M169+Q169+U169+Y169+AC169)</f>
        <v>729092</v>
      </c>
      <c r="AI169" s="37">
        <f t="shared" ref="AI169:AI199" si="38">ROUND(((AH169/AE169-1)*100),1)</f>
        <v>81.2</v>
      </c>
    </row>
    <row r="170" spans="1:35" s="605" customFormat="1" ht="19.5" customHeight="1">
      <c r="A170" s="610" t="s">
        <v>54</v>
      </c>
      <c r="B170" s="32">
        <v>8182</v>
      </c>
      <c r="C170" s="32">
        <v>44697</v>
      </c>
      <c r="D170" s="32">
        <v>7501</v>
      </c>
      <c r="E170" s="32">
        <v>62222</v>
      </c>
      <c r="F170" s="32">
        <v>6270</v>
      </c>
      <c r="G170" s="32">
        <v>81019</v>
      </c>
      <c r="H170" s="32">
        <v>9854</v>
      </c>
      <c r="I170" s="32">
        <v>169364</v>
      </c>
      <c r="J170" s="32">
        <v>175081</v>
      </c>
      <c r="K170" s="32">
        <v>296911</v>
      </c>
      <c r="L170" s="32">
        <v>155176</v>
      </c>
      <c r="M170" s="32">
        <v>331499</v>
      </c>
      <c r="N170" s="32">
        <v>6623</v>
      </c>
      <c r="O170" s="32">
        <v>11296</v>
      </c>
      <c r="P170" s="32">
        <v>4207</v>
      </c>
      <c r="Q170" s="32">
        <v>7375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718</v>
      </c>
      <c r="AA170" s="32">
        <v>1977</v>
      </c>
      <c r="AB170" s="32">
        <v>647</v>
      </c>
      <c r="AC170" s="32">
        <v>1680</v>
      </c>
      <c r="AD170" s="32">
        <f t="shared" ref="AD170:AD197" si="39">SUM(B170+F170+J170+N170+R170+V170+Z170)</f>
        <v>196874</v>
      </c>
      <c r="AE170" s="32">
        <f t="shared" si="34"/>
        <v>435900</v>
      </c>
      <c r="AF170" s="32">
        <f t="shared" si="35"/>
        <v>177385</v>
      </c>
      <c r="AG170" s="37">
        <f t="shared" si="36"/>
        <v>-9.9</v>
      </c>
      <c r="AH170" s="32">
        <f t="shared" si="37"/>
        <v>572140</v>
      </c>
      <c r="AI170" s="37">
        <f t="shared" si="38"/>
        <v>31.3</v>
      </c>
    </row>
    <row r="171" spans="1:35" s="605" customFormat="1" ht="19.5" customHeight="1">
      <c r="A171" s="610" t="s">
        <v>46</v>
      </c>
      <c r="B171" s="32">
        <v>41521</v>
      </c>
      <c r="C171" s="32">
        <v>224722</v>
      </c>
      <c r="D171" s="32">
        <v>32508</v>
      </c>
      <c r="E171" s="32">
        <v>252909</v>
      </c>
      <c r="F171" s="32">
        <v>1334</v>
      </c>
      <c r="G171" s="32">
        <v>35942</v>
      </c>
      <c r="H171" s="32">
        <v>618</v>
      </c>
      <c r="I171" s="32">
        <v>31385</v>
      </c>
      <c r="J171" s="32">
        <v>129066</v>
      </c>
      <c r="K171" s="32">
        <v>250920</v>
      </c>
      <c r="L171" s="32">
        <v>109144</v>
      </c>
      <c r="M171" s="32">
        <v>241352</v>
      </c>
      <c r="N171" s="32">
        <v>498</v>
      </c>
      <c r="O171" s="32">
        <v>1053</v>
      </c>
      <c r="P171" s="32">
        <v>371</v>
      </c>
      <c r="Q171" s="32">
        <v>789</v>
      </c>
      <c r="R171" s="32">
        <v>175</v>
      </c>
      <c r="S171" s="32">
        <v>347</v>
      </c>
      <c r="T171" s="32">
        <v>98</v>
      </c>
      <c r="U171" s="32">
        <v>276</v>
      </c>
      <c r="V171" s="32">
        <v>2</v>
      </c>
      <c r="W171" s="32">
        <v>158</v>
      </c>
      <c r="X171" s="32">
        <v>3</v>
      </c>
      <c r="Y171" s="32">
        <v>161</v>
      </c>
      <c r="Z171" s="32">
        <v>1129</v>
      </c>
      <c r="AA171" s="32">
        <v>99656</v>
      </c>
      <c r="AB171" s="32">
        <v>621</v>
      </c>
      <c r="AC171" s="32">
        <v>71818</v>
      </c>
      <c r="AD171" s="32">
        <f t="shared" si="39"/>
        <v>173725</v>
      </c>
      <c r="AE171" s="32">
        <f t="shared" si="34"/>
        <v>612798</v>
      </c>
      <c r="AF171" s="32">
        <f t="shared" si="35"/>
        <v>143363</v>
      </c>
      <c r="AG171" s="37">
        <f t="shared" si="36"/>
        <v>-17.5</v>
      </c>
      <c r="AH171" s="32">
        <f t="shared" si="37"/>
        <v>598690</v>
      </c>
      <c r="AI171" s="37">
        <f t="shared" si="38"/>
        <v>-2.2999999999999998</v>
      </c>
    </row>
    <row r="172" spans="1:35" s="605" customFormat="1" ht="19.5" customHeight="1">
      <c r="A172" s="610" t="s">
        <v>47</v>
      </c>
      <c r="B172" s="32">
        <v>19559</v>
      </c>
      <c r="C172" s="32">
        <v>232423</v>
      </c>
      <c r="D172" s="32">
        <v>17656</v>
      </c>
      <c r="E172" s="32">
        <v>299011</v>
      </c>
      <c r="F172" s="32">
        <v>0</v>
      </c>
      <c r="G172" s="32">
        <v>0</v>
      </c>
      <c r="H172" s="32">
        <v>0</v>
      </c>
      <c r="I172" s="32">
        <v>0</v>
      </c>
      <c r="J172" s="32">
        <v>60116</v>
      </c>
      <c r="K172" s="32">
        <v>135863</v>
      </c>
      <c r="L172" s="32">
        <v>55001</v>
      </c>
      <c r="M172" s="32">
        <v>189556</v>
      </c>
      <c r="N172" s="32">
        <v>2720</v>
      </c>
      <c r="O172" s="32">
        <v>5263</v>
      </c>
      <c r="P172" s="32">
        <v>2775</v>
      </c>
      <c r="Q172" s="32">
        <v>5693</v>
      </c>
      <c r="R172" s="32">
        <v>204</v>
      </c>
      <c r="S172" s="32">
        <v>387</v>
      </c>
      <c r="T172" s="32">
        <v>225</v>
      </c>
      <c r="U172" s="32">
        <v>457</v>
      </c>
      <c r="V172" s="32">
        <v>97</v>
      </c>
      <c r="W172" s="32">
        <v>5835</v>
      </c>
      <c r="X172" s="32">
        <v>100</v>
      </c>
      <c r="Y172" s="32">
        <v>4937</v>
      </c>
      <c r="Z172" s="32">
        <v>1362</v>
      </c>
      <c r="AA172" s="32">
        <v>45532</v>
      </c>
      <c r="AB172" s="32">
        <v>2553</v>
      </c>
      <c r="AC172" s="32">
        <v>64882</v>
      </c>
      <c r="AD172" s="32">
        <f t="shared" si="39"/>
        <v>84058</v>
      </c>
      <c r="AE172" s="32">
        <f t="shared" si="34"/>
        <v>425303</v>
      </c>
      <c r="AF172" s="32">
        <f t="shared" si="35"/>
        <v>78310</v>
      </c>
      <c r="AG172" s="37">
        <f t="shared" si="36"/>
        <v>-6.8</v>
      </c>
      <c r="AH172" s="32">
        <f t="shared" si="37"/>
        <v>564536</v>
      </c>
      <c r="AI172" s="37">
        <f t="shared" si="38"/>
        <v>32.700000000000003</v>
      </c>
    </row>
    <row r="173" spans="1:35" s="605" customFormat="1" ht="19.5" customHeight="1">
      <c r="A173" s="610" t="s">
        <v>77</v>
      </c>
      <c r="B173" s="32">
        <v>72364</v>
      </c>
      <c r="C173" s="32">
        <v>397394</v>
      </c>
      <c r="D173" s="32">
        <v>108746</v>
      </c>
      <c r="E173" s="32">
        <v>889121</v>
      </c>
      <c r="F173" s="32">
        <v>0</v>
      </c>
      <c r="G173" s="32">
        <v>0</v>
      </c>
      <c r="H173" s="32">
        <v>0</v>
      </c>
      <c r="I173" s="32">
        <v>0</v>
      </c>
      <c r="J173" s="32">
        <v>1218</v>
      </c>
      <c r="K173" s="32">
        <v>1382</v>
      </c>
      <c r="L173" s="32">
        <v>1510</v>
      </c>
      <c r="M173" s="32">
        <v>2272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5</v>
      </c>
      <c r="AB173" s="32">
        <v>0</v>
      </c>
      <c r="AC173" s="32">
        <v>0</v>
      </c>
      <c r="AD173" s="32">
        <f t="shared" si="39"/>
        <v>73582</v>
      </c>
      <c r="AE173" s="32">
        <f t="shared" si="34"/>
        <v>398781</v>
      </c>
      <c r="AF173" s="32">
        <f t="shared" si="35"/>
        <v>110256</v>
      </c>
      <c r="AG173" s="37">
        <f t="shared" si="36"/>
        <v>49.8</v>
      </c>
      <c r="AH173" s="32">
        <f t="shared" si="37"/>
        <v>891393</v>
      </c>
      <c r="AI173" s="37">
        <f t="shared" si="38"/>
        <v>123.5</v>
      </c>
    </row>
    <row r="174" spans="1:35" s="605" customFormat="1" ht="19.5" customHeight="1">
      <c r="A174" s="610" t="s">
        <v>49</v>
      </c>
      <c r="B174" s="32">
        <v>11463</v>
      </c>
      <c r="C174" s="32">
        <v>70541</v>
      </c>
      <c r="D174" s="32">
        <v>14068</v>
      </c>
      <c r="E174" s="32">
        <v>98534</v>
      </c>
      <c r="F174" s="32">
        <v>2</v>
      </c>
      <c r="G174" s="32">
        <v>25</v>
      </c>
      <c r="H174" s="32">
        <v>63</v>
      </c>
      <c r="I174" s="32">
        <v>195</v>
      </c>
      <c r="J174" s="32">
        <v>63758</v>
      </c>
      <c r="K174" s="32">
        <v>110956</v>
      </c>
      <c r="L174" s="32">
        <v>54990</v>
      </c>
      <c r="M174" s="32">
        <v>121550</v>
      </c>
      <c r="N174" s="32">
        <v>622</v>
      </c>
      <c r="O174" s="32">
        <v>1091</v>
      </c>
      <c r="P174" s="32">
        <v>3</v>
      </c>
      <c r="Q174" s="32">
        <v>22</v>
      </c>
      <c r="R174" s="32">
        <v>171</v>
      </c>
      <c r="S174" s="32">
        <v>458</v>
      </c>
      <c r="T174" s="32">
        <v>177</v>
      </c>
      <c r="U174" s="32">
        <v>631</v>
      </c>
      <c r="V174" s="32">
        <v>576</v>
      </c>
      <c r="W174" s="32">
        <v>9499</v>
      </c>
      <c r="X174" s="32">
        <v>1015</v>
      </c>
      <c r="Y174" s="32">
        <v>23045</v>
      </c>
      <c r="Z174" s="32">
        <v>390</v>
      </c>
      <c r="AA174" s="32">
        <v>962</v>
      </c>
      <c r="AB174" s="32">
        <v>66</v>
      </c>
      <c r="AC174" s="32">
        <v>181</v>
      </c>
      <c r="AD174" s="32">
        <f t="shared" si="39"/>
        <v>76982</v>
      </c>
      <c r="AE174" s="32">
        <f t="shared" si="34"/>
        <v>193532</v>
      </c>
      <c r="AF174" s="32">
        <f t="shared" si="35"/>
        <v>70382</v>
      </c>
      <c r="AG174" s="37">
        <f t="shared" si="36"/>
        <v>-8.6</v>
      </c>
      <c r="AH174" s="32">
        <f t="shared" si="37"/>
        <v>244158</v>
      </c>
      <c r="AI174" s="37">
        <f t="shared" si="38"/>
        <v>26.2</v>
      </c>
    </row>
    <row r="175" spans="1:35" s="605" customFormat="1" ht="19.5" customHeight="1">
      <c r="A175" s="610" t="s">
        <v>57</v>
      </c>
      <c r="B175" s="32">
        <v>3196</v>
      </c>
      <c r="C175" s="32">
        <v>16624</v>
      </c>
      <c r="D175" s="32">
        <v>6268</v>
      </c>
      <c r="E175" s="32">
        <v>47919</v>
      </c>
      <c r="F175" s="32">
        <v>0</v>
      </c>
      <c r="G175" s="32">
        <v>0</v>
      </c>
      <c r="H175" s="32">
        <v>0</v>
      </c>
      <c r="I175" s="32">
        <v>0</v>
      </c>
      <c r="J175" s="32">
        <v>49596</v>
      </c>
      <c r="K175" s="32">
        <v>85121</v>
      </c>
      <c r="L175" s="32">
        <v>63309</v>
      </c>
      <c r="M175" s="32">
        <v>130642</v>
      </c>
      <c r="N175" s="32">
        <v>6534</v>
      </c>
      <c r="O175" s="32">
        <v>12784</v>
      </c>
      <c r="P175" s="32">
        <v>2288</v>
      </c>
      <c r="Q175" s="32">
        <v>4686</v>
      </c>
      <c r="R175" s="32">
        <v>0</v>
      </c>
      <c r="S175" s="32">
        <v>0</v>
      </c>
      <c r="T175" s="32">
        <v>1</v>
      </c>
      <c r="U175" s="32">
        <v>3</v>
      </c>
      <c r="V175" s="32">
        <v>0</v>
      </c>
      <c r="W175" s="32">
        <v>0</v>
      </c>
      <c r="X175" s="32">
        <v>0</v>
      </c>
      <c r="Y175" s="32">
        <v>0</v>
      </c>
      <c r="Z175" s="32">
        <v>46</v>
      </c>
      <c r="AA175" s="32">
        <v>180</v>
      </c>
      <c r="AB175" s="32">
        <v>46</v>
      </c>
      <c r="AC175" s="32">
        <v>152</v>
      </c>
      <c r="AD175" s="32">
        <f t="shared" si="39"/>
        <v>59372</v>
      </c>
      <c r="AE175" s="32">
        <f t="shared" si="34"/>
        <v>114709</v>
      </c>
      <c r="AF175" s="32">
        <f t="shared" si="35"/>
        <v>71912</v>
      </c>
      <c r="AG175" s="37">
        <f t="shared" si="36"/>
        <v>21.1</v>
      </c>
      <c r="AH175" s="32">
        <f t="shared" si="37"/>
        <v>183402</v>
      </c>
      <c r="AI175" s="37">
        <f t="shared" si="38"/>
        <v>59.9</v>
      </c>
    </row>
    <row r="176" spans="1:35" s="605" customFormat="1" ht="19.5" customHeight="1">
      <c r="A176" s="610" t="s">
        <v>79</v>
      </c>
      <c r="B176" s="32">
        <v>498</v>
      </c>
      <c r="C176" s="32">
        <v>2097</v>
      </c>
      <c r="D176" s="32">
        <v>11</v>
      </c>
      <c r="E176" s="32">
        <v>100</v>
      </c>
      <c r="F176" s="32">
        <v>27</v>
      </c>
      <c r="G176" s="32">
        <v>603</v>
      </c>
      <c r="H176" s="32">
        <v>18</v>
      </c>
      <c r="I176" s="32">
        <v>477</v>
      </c>
      <c r="J176" s="32">
        <v>45310</v>
      </c>
      <c r="K176" s="32">
        <v>83767</v>
      </c>
      <c r="L176" s="32">
        <v>48241</v>
      </c>
      <c r="M176" s="32">
        <v>110903</v>
      </c>
      <c r="N176" s="32">
        <v>1339</v>
      </c>
      <c r="O176" s="32">
        <v>2764</v>
      </c>
      <c r="P176" s="32">
        <v>3250</v>
      </c>
      <c r="Q176" s="32">
        <v>6580</v>
      </c>
      <c r="R176" s="32">
        <v>0</v>
      </c>
      <c r="S176" s="32">
        <v>0</v>
      </c>
      <c r="T176" s="32">
        <v>0</v>
      </c>
      <c r="U176" s="32">
        <v>0</v>
      </c>
      <c r="V176" s="32">
        <v>1</v>
      </c>
      <c r="W176" s="32">
        <v>56</v>
      </c>
      <c r="X176" s="32">
        <v>1</v>
      </c>
      <c r="Y176" s="32">
        <v>143</v>
      </c>
      <c r="Z176" s="32">
        <v>1710</v>
      </c>
      <c r="AA176" s="32">
        <v>14162</v>
      </c>
      <c r="AB176" s="32">
        <v>1132</v>
      </c>
      <c r="AC176" s="32">
        <v>8708</v>
      </c>
      <c r="AD176" s="32">
        <f t="shared" si="39"/>
        <v>48885</v>
      </c>
      <c r="AE176" s="32">
        <f t="shared" si="34"/>
        <v>103449</v>
      </c>
      <c r="AF176" s="32">
        <f t="shared" si="35"/>
        <v>52653</v>
      </c>
      <c r="AG176" s="37">
        <f t="shared" si="36"/>
        <v>7.7</v>
      </c>
      <c r="AH176" s="32">
        <f t="shared" si="37"/>
        <v>126911</v>
      </c>
      <c r="AI176" s="37">
        <f t="shared" si="38"/>
        <v>22.7</v>
      </c>
    </row>
    <row r="177" spans="1:35" s="605" customFormat="1" ht="19.5" customHeight="1">
      <c r="A177" s="610" t="s">
        <v>48</v>
      </c>
      <c r="B177" s="32">
        <v>6380</v>
      </c>
      <c r="C177" s="32">
        <v>35717</v>
      </c>
      <c r="D177" s="32">
        <v>7397</v>
      </c>
      <c r="E177" s="32">
        <v>55889</v>
      </c>
      <c r="F177" s="32">
        <v>0</v>
      </c>
      <c r="G177" s="32">
        <v>1</v>
      </c>
      <c r="H177" s="32">
        <v>0</v>
      </c>
      <c r="I177" s="32">
        <v>0</v>
      </c>
      <c r="J177" s="32">
        <v>45081</v>
      </c>
      <c r="K177" s="32">
        <v>70052</v>
      </c>
      <c r="L177" s="32">
        <v>35525</v>
      </c>
      <c r="M177" s="32">
        <v>64422</v>
      </c>
      <c r="N177" s="32">
        <v>94</v>
      </c>
      <c r="O177" s="32">
        <v>163</v>
      </c>
      <c r="P177" s="32">
        <v>420</v>
      </c>
      <c r="Q177" s="32">
        <v>833</v>
      </c>
      <c r="R177" s="32">
        <v>25</v>
      </c>
      <c r="S177" s="32">
        <v>9</v>
      </c>
      <c r="T177" s="32">
        <v>0</v>
      </c>
      <c r="U177" s="32">
        <v>0</v>
      </c>
      <c r="V177" s="32">
        <v>695</v>
      </c>
      <c r="W177" s="32">
        <v>13360</v>
      </c>
      <c r="X177" s="32">
        <v>735</v>
      </c>
      <c r="Y177" s="32">
        <v>19939</v>
      </c>
      <c r="Z177" s="32">
        <v>22</v>
      </c>
      <c r="AA177" s="32">
        <v>33</v>
      </c>
      <c r="AB177" s="32">
        <v>113</v>
      </c>
      <c r="AC177" s="32">
        <v>931</v>
      </c>
      <c r="AD177" s="32">
        <f t="shared" si="39"/>
        <v>52297</v>
      </c>
      <c r="AE177" s="32">
        <f t="shared" si="34"/>
        <v>119335</v>
      </c>
      <c r="AF177" s="32">
        <f t="shared" si="35"/>
        <v>44190</v>
      </c>
      <c r="AG177" s="37">
        <f t="shared" si="36"/>
        <v>-15.5</v>
      </c>
      <c r="AH177" s="32">
        <f t="shared" si="37"/>
        <v>142014</v>
      </c>
      <c r="AI177" s="37">
        <f t="shared" si="38"/>
        <v>19</v>
      </c>
    </row>
    <row r="178" spans="1:35" s="605" customFormat="1" ht="19.5" customHeight="1">
      <c r="A178" s="610" t="s">
        <v>56</v>
      </c>
      <c r="B178" s="32">
        <v>9152</v>
      </c>
      <c r="C178" s="32">
        <v>46727</v>
      </c>
      <c r="D178" s="32">
        <v>10498</v>
      </c>
      <c r="E178" s="32">
        <v>79984</v>
      </c>
      <c r="F178" s="32">
        <v>0</v>
      </c>
      <c r="G178" s="32">
        <v>0</v>
      </c>
      <c r="H178" s="32">
        <v>0</v>
      </c>
      <c r="I178" s="32">
        <v>0</v>
      </c>
      <c r="J178" s="32">
        <v>23110</v>
      </c>
      <c r="K178" s="32">
        <v>31164</v>
      </c>
      <c r="L178" s="32">
        <v>21940</v>
      </c>
      <c r="M178" s="32">
        <v>37895</v>
      </c>
      <c r="N178" s="32">
        <v>1226</v>
      </c>
      <c r="O178" s="32">
        <v>2338</v>
      </c>
      <c r="P178" s="32">
        <v>5465</v>
      </c>
      <c r="Q178" s="32">
        <v>11136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13</v>
      </c>
      <c r="AA178" s="32">
        <v>76</v>
      </c>
      <c r="AB178" s="32">
        <v>0</v>
      </c>
      <c r="AC178" s="32">
        <v>0</v>
      </c>
      <c r="AD178" s="32">
        <f t="shared" si="39"/>
        <v>33501</v>
      </c>
      <c r="AE178" s="32">
        <f t="shared" si="34"/>
        <v>80305</v>
      </c>
      <c r="AF178" s="32">
        <f t="shared" si="35"/>
        <v>37903</v>
      </c>
      <c r="AG178" s="37">
        <f t="shared" si="36"/>
        <v>13.1</v>
      </c>
      <c r="AH178" s="32">
        <f t="shared" si="37"/>
        <v>129015</v>
      </c>
      <c r="AI178" s="37">
        <f t="shared" si="38"/>
        <v>60.7</v>
      </c>
    </row>
    <row r="179" spans="1:35" s="605" customFormat="1" ht="19.5" customHeight="1">
      <c r="A179" s="610" t="s">
        <v>44</v>
      </c>
      <c r="B179" s="32">
        <v>4151</v>
      </c>
      <c r="C179" s="32">
        <v>27147</v>
      </c>
      <c r="D179" s="32">
        <v>6982</v>
      </c>
      <c r="E179" s="32">
        <v>58326</v>
      </c>
      <c r="F179" s="32">
        <v>88</v>
      </c>
      <c r="G179" s="32">
        <v>142</v>
      </c>
      <c r="H179" s="32">
        <v>35</v>
      </c>
      <c r="I179" s="32">
        <v>279</v>
      </c>
      <c r="J179" s="32">
        <v>28455</v>
      </c>
      <c r="K179" s="32">
        <v>71548</v>
      </c>
      <c r="L179" s="32">
        <v>23149</v>
      </c>
      <c r="M179" s="32">
        <v>73315</v>
      </c>
      <c r="N179" s="32">
        <v>6</v>
      </c>
      <c r="O179" s="32">
        <v>5</v>
      </c>
      <c r="P179" s="32">
        <v>28</v>
      </c>
      <c r="Q179" s="32">
        <v>364</v>
      </c>
      <c r="R179" s="32">
        <v>1335</v>
      </c>
      <c r="S179" s="32">
        <v>2685</v>
      </c>
      <c r="T179" s="32">
        <v>637</v>
      </c>
      <c r="U179" s="32">
        <v>1523</v>
      </c>
      <c r="V179" s="32">
        <v>2</v>
      </c>
      <c r="W179" s="32">
        <v>32</v>
      </c>
      <c r="X179" s="32">
        <v>0</v>
      </c>
      <c r="Y179" s="32">
        <v>0</v>
      </c>
      <c r="Z179" s="32">
        <v>160</v>
      </c>
      <c r="AA179" s="32">
        <v>2554</v>
      </c>
      <c r="AB179" s="32">
        <v>1440</v>
      </c>
      <c r="AC179" s="32">
        <v>13590</v>
      </c>
      <c r="AD179" s="32">
        <f t="shared" si="39"/>
        <v>34197</v>
      </c>
      <c r="AE179" s="32">
        <f t="shared" si="34"/>
        <v>104113</v>
      </c>
      <c r="AF179" s="32">
        <f t="shared" si="35"/>
        <v>32271</v>
      </c>
      <c r="AG179" s="37">
        <f t="shared" si="36"/>
        <v>-5.6</v>
      </c>
      <c r="AH179" s="32">
        <f t="shared" si="37"/>
        <v>147397</v>
      </c>
      <c r="AI179" s="37">
        <f t="shared" si="38"/>
        <v>41.6</v>
      </c>
    </row>
    <row r="180" spans="1:35" s="605" customFormat="1" ht="19.5" customHeight="1">
      <c r="A180" s="610" t="s">
        <v>80</v>
      </c>
      <c r="B180" s="32">
        <v>1337</v>
      </c>
      <c r="C180" s="32">
        <v>6748</v>
      </c>
      <c r="D180" s="32">
        <v>61</v>
      </c>
      <c r="E180" s="32">
        <v>345</v>
      </c>
      <c r="F180" s="32">
        <v>0</v>
      </c>
      <c r="G180" s="32">
        <v>0</v>
      </c>
      <c r="H180" s="32">
        <v>0</v>
      </c>
      <c r="I180" s="32">
        <v>0</v>
      </c>
      <c r="J180" s="32">
        <v>31934</v>
      </c>
      <c r="K180" s="32">
        <v>60236</v>
      </c>
      <c r="L180" s="32">
        <v>37576</v>
      </c>
      <c r="M180" s="32">
        <v>85216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f t="shared" si="39"/>
        <v>33271</v>
      </c>
      <c r="AE180" s="32">
        <f t="shared" si="34"/>
        <v>66984</v>
      </c>
      <c r="AF180" s="32">
        <f t="shared" si="35"/>
        <v>37637</v>
      </c>
      <c r="AG180" s="37">
        <f t="shared" si="36"/>
        <v>13.1</v>
      </c>
      <c r="AH180" s="32">
        <f t="shared" si="37"/>
        <v>85561</v>
      </c>
      <c r="AI180" s="37">
        <f t="shared" si="38"/>
        <v>27.7</v>
      </c>
    </row>
    <row r="181" spans="1:35" s="605" customFormat="1" ht="19.5" customHeight="1">
      <c r="A181" s="610" t="s">
        <v>50</v>
      </c>
      <c r="B181" s="32">
        <v>11174</v>
      </c>
      <c r="C181" s="32">
        <v>87780</v>
      </c>
      <c r="D181" s="32">
        <v>15093</v>
      </c>
      <c r="E181" s="32">
        <v>134201</v>
      </c>
      <c r="F181" s="32">
        <v>40</v>
      </c>
      <c r="G181" s="32">
        <v>166</v>
      </c>
      <c r="H181" s="32">
        <v>49</v>
      </c>
      <c r="I181" s="32">
        <v>455</v>
      </c>
      <c r="J181" s="32">
        <v>16043</v>
      </c>
      <c r="K181" s="32">
        <v>28967</v>
      </c>
      <c r="L181" s="32">
        <v>22069</v>
      </c>
      <c r="M181" s="32">
        <v>43195</v>
      </c>
      <c r="N181" s="32">
        <v>40</v>
      </c>
      <c r="O181" s="32">
        <v>69</v>
      </c>
      <c r="P181" s="32">
        <v>2114</v>
      </c>
      <c r="Q181" s="32">
        <v>4357</v>
      </c>
      <c r="R181" s="32">
        <v>0</v>
      </c>
      <c r="S181" s="32">
        <v>10</v>
      </c>
      <c r="T181" s="32">
        <v>0</v>
      </c>
      <c r="U181" s="32">
        <v>14</v>
      </c>
      <c r="V181" s="32">
        <v>5</v>
      </c>
      <c r="W181" s="32">
        <v>144</v>
      </c>
      <c r="X181" s="32">
        <v>4</v>
      </c>
      <c r="Y181" s="32">
        <v>185</v>
      </c>
      <c r="Z181" s="32">
        <v>466</v>
      </c>
      <c r="AA181" s="32">
        <v>4139</v>
      </c>
      <c r="AB181" s="32">
        <v>1397</v>
      </c>
      <c r="AC181" s="32">
        <v>6526</v>
      </c>
      <c r="AD181" s="32">
        <f t="shared" si="39"/>
        <v>27768</v>
      </c>
      <c r="AE181" s="32">
        <f t="shared" si="34"/>
        <v>121275</v>
      </c>
      <c r="AF181" s="32">
        <f t="shared" si="35"/>
        <v>40726</v>
      </c>
      <c r="AG181" s="37">
        <f t="shared" si="36"/>
        <v>46.7</v>
      </c>
      <c r="AH181" s="32">
        <f t="shared" si="37"/>
        <v>188933</v>
      </c>
      <c r="AI181" s="37">
        <f t="shared" si="38"/>
        <v>55.8</v>
      </c>
    </row>
    <row r="182" spans="1:35" s="605" customFormat="1" ht="19.5" customHeight="1">
      <c r="A182" s="610" t="s">
        <v>570</v>
      </c>
      <c r="B182" s="32">
        <v>27956</v>
      </c>
      <c r="C182" s="32">
        <v>154667</v>
      </c>
      <c r="D182" s="32">
        <v>40921</v>
      </c>
      <c r="E182" s="32">
        <v>347703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683</v>
      </c>
      <c r="AA182" s="32">
        <v>4338</v>
      </c>
      <c r="AB182" s="32">
        <v>978</v>
      </c>
      <c r="AC182" s="32">
        <v>7899</v>
      </c>
      <c r="AD182" s="32">
        <f t="shared" si="39"/>
        <v>28639</v>
      </c>
      <c r="AE182" s="32">
        <f t="shared" si="34"/>
        <v>159005</v>
      </c>
      <c r="AF182" s="32">
        <f t="shared" si="35"/>
        <v>41899</v>
      </c>
      <c r="AG182" s="37">
        <f t="shared" si="36"/>
        <v>46.3</v>
      </c>
      <c r="AH182" s="32">
        <f t="shared" si="37"/>
        <v>355602</v>
      </c>
      <c r="AI182" s="37">
        <f t="shared" si="38"/>
        <v>123.6</v>
      </c>
    </row>
    <row r="183" spans="1:35" s="605" customFormat="1" ht="19.5" customHeight="1">
      <c r="A183" s="610" t="s">
        <v>83</v>
      </c>
      <c r="B183" s="32">
        <v>487</v>
      </c>
      <c r="C183" s="32">
        <v>2604</v>
      </c>
      <c r="D183" s="32">
        <v>376</v>
      </c>
      <c r="E183" s="32">
        <v>2952</v>
      </c>
      <c r="F183" s="32">
        <v>0</v>
      </c>
      <c r="G183" s="32">
        <v>0</v>
      </c>
      <c r="H183" s="32">
        <v>0</v>
      </c>
      <c r="I183" s="32">
        <v>0</v>
      </c>
      <c r="J183" s="32">
        <v>21270</v>
      </c>
      <c r="K183" s="32">
        <v>39324</v>
      </c>
      <c r="L183" s="32">
        <v>26705</v>
      </c>
      <c r="M183" s="32">
        <v>60078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f t="shared" si="39"/>
        <v>21757</v>
      </c>
      <c r="AE183" s="32">
        <f t="shared" si="34"/>
        <v>41928</v>
      </c>
      <c r="AF183" s="32">
        <f t="shared" si="35"/>
        <v>27081</v>
      </c>
      <c r="AG183" s="37">
        <f t="shared" si="36"/>
        <v>24.5</v>
      </c>
      <c r="AH183" s="32">
        <f t="shared" si="37"/>
        <v>63030</v>
      </c>
      <c r="AI183" s="37">
        <f t="shared" si="38"/>
        <v>50.3</v>
      </c>
    </row>
    <row r="184" spans="1:35" s="605" customFormat="1" ht="19.5" customHeight="1">
      <c r="A184" s="610" t="s">
        <v>58</v>
      </c>
      <c r="B184" s="32">
        <v>6398</v>
      </c>
      <c r="C184" s="32">
        <v>23933</v>
      </c>
      <c r="D184" s="32">
        <v>8327</v>
      </c>
      <c r="E184" s="32">
        <v>65786</v>
      </c>
      <c r="F184" s="32">
        <v>6</v>
      </c>
      <c r="G184" s="32">
        <v>612</v>
      </c>
      <c r="H184" s="32">
        <v>1</v>
      </c>
      <c r="I184" s="32">
        <v>61</v>
      </c>
      <c r="J184" s="32">
        <v>17121</v>
      </c>
      <c r="K184" s="32">
        <v>21186</v>
      </c>
      <c r="L184" s="32">
        <v>14566</v>
      </c>
      <c r="M184" s="32">
        <v>23742</v>
      </c>
      <c r="N184" s="32">
        <v>64</v>
      </c>
      <c r="O184" s="32">
        <v>140</v>
      </c>
      <c r="P184" s="32">
        <v>4052</v>
      </c>
      <c r="Q184" s="32">
        <v>8688</v>
      </c>
      <c r="R184" s="32">
        <v>0</v>
      </c>
      <c r="S184" s="32">
        <v>0</v>
      </c>
      <c r="T184" s="32">
        <v>18</v>
      </c>
      <c r="U184" s="32">
        <v>49</v>
      </c>
      <c r="V184" s="32">
        <v>0</v>
      </c>
      <c r="W184" s="32">
        <v>0</v>
      </c>
      <c r="X184" s="32">
        <v>0</v>
      </c>
      <c r="Y184" s="32">
        <v>0</v>
      </c>
      <c r="Z184" s="32">
        <v>27</v>
      </c>
      <c r="AA184" s="32">
        <v>509</v>
      </c>
      <c r="AB184" s="32">
        <v>157</v>
      </c>
      <c r="AC184" s="32">
        <v>597</v>
      </c>
      <c r="AD184" s="32">
        <f t="shared" si="39"/>
        <v>23616</v>
      </c>
      <c r="AE184" s="32">
        <f t="shared" si="34"/>
        <v>46380</v>
      </c>
      <c r="AF184" s="32">
        <f t="shared" si="35"/>
        <v>27121</v>
      </c>
      <c r="AG184" s="37">
        <f t="shared" si="36"/>
        <v>14.8</v>
      </c>
      <c r="AH184" s="32">
        <f t="shared" si="37"/>
        <v>98923</v>
      </c>
      <c r="AI184" s="37">
        <f t="shared" si="38"/>
        <v>113.3</v>
      </c>
    </row>
    <row r="185" spans="1:35" s="605" customFormat="1" ht="19.5" customHeight="1">
      <c r="A185" s="610" t="s">
        <v>84</v>
      </c>
      <c r="B185" s="32">
        <v>418</v>
      </c>
      <c r="C185" s="32">
        <v>2202</v>
      </c>
      <c r="D185" s="32">
        <v>738</v>
      </c>
      <c r="E185" s="32">
        <v>5454</v>
      </c>
      <c r="F185" s="32">
        <v>0</v>
      </c>
      <c r="G185" s="32">
        <v>0</v>
      </c>
      <c r="H185" s="32">
        <v>0</v>
      </c>
      <c r="I185" s="32">
        <v>0</v>
      </c>
      <c r="J185" s="32">
        <v>28343</v>
      </c>
      <c r="K185" s="32">
        <v>52667</v>
      </c>
      <c r="L185" s="32">
        <v>36248</v>
      </c>
      <c r="M185" s="32">
        <v>78948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f t="shared" si="39"/>
        <v>28761</v>
      </c>
      <c r="AE185" s="32">
        <f t="shared" si="34"/>
        <v>54869</v>
      </c>
      <c r="AF185" s="32">
        <f t="shared" si="35"/>
        <v>36986</v>
      </c>
      <c r="AG185" s="37">
        <f t="shared" si="36"/>
        <v>28.6</v>
      </c>
      <c r="AH185" s="32">
        <f t="shared" si="37"/>
        <v>84402</v>
      </c>
      <c r="AI185" s="37">
        <f t="shared" si="38"/>
        <v>53.8</v>
      </c>
    </row>
    <row r="186" spans="1:35" s="605" customFormat="1" ht="19.5" customHeight="1">
      <c r="A186" s="610" t="s">
        <v>65</v>
      </c>
      <c r="B186" s="32">
        <v>2794</v>
      </c>
      <c r="C186" s="32">
        <v>13411</v>
      </c>
      <c r="D186" s="32">
        <v>3684</v>
      </c>
      <c r="E186" s="32">
        <v>21696</v>
      </c>
      <c r="F186" s="32">
        <v>1986</v>
      </c>
      <c r="G186" s="32">
        <v>27526</v>
      </c>
      <c r="H186" s="32">
        <v>2935</v>
      </c>
      <c r="I186" s="32">
        <v>48231</v>
      </c>
      <c r="J186" s="32">
        <v>8530</v>
      </c>
      <c r="K186" s="32">
        <v>13583</v>
      </c>
      <c r="L186" s="32">
        <v>20723</v>
      </c>
      <c r="M186" s="32">
        <v>31115</v>
      </c>
      <c r="N186" s="32">
        <v>0</v>
      </c>
      <c r="O186" s="32">
        <v>0</v>
      </c>
      <c r="P186" s="32">
        <v>95</v>
      </c>
      <c r="Q186" s="32">
        <v>186</v>
      </c>
      <c r="R186" s="32">
        <v>981</v>
      </c>
      <c r="S186" s="32">
        <v>2008</v>
      </c>
      <c r="T186" s="32">
        <v>5827</v>
      </c>
      <c r="U186" s="32">
        <v>17097</v>
      </c>
      <c r="V186" s="32">
        <v>0</v>
      </c>
      <c r="W186" s="32">
        <v>29</v>
      </c>
      <c r="X186" s="32">
        <v>2</v>
      </c>
      <c r="Y186" s="32">
        <v>133</v>
      </c>
      <c r="Z186" s="32">
        <v>58</v>
      </c>
      <c r="AA186" s="32">
        <v>3037</v>
      </c>
      <c r="AB186" s="32">
        <v>116</v>
      </c>
      <c r="AC186" s="32">
        <v>6454</v>
      </c>
      <c r="AD186" s="32">
        <f t="shared" si="39"/>
        <v>14349</v>
      </c>
      <c r="AE186" s="32">
        <f t="shared" si="34"/>
        <v>59594</v>
      </c>
      <c r="AF186" s="32">
        <f t="shared" si="35"/>
        <v>33382</v>
      </c>
      <c r="AG186" s="37">
        <f t="shared" si="36"/>
        <v>132.6</v>
      </c>
      <c r="AH186" s="32">
        <f t="shared" si="37"/>
        <v>124912</v>
      </c>
      <c r="AI186" s="37">
        <f t="shared" si="38"/>
        <v>109.6</v>
      </c>
    </row>
    <row r="187" spans="1:35" s="605" customFormat="1" ht="19.5" customHeight="1">
      <c r="A187" s="610" t="s">
        <v>52</v>
      </c>
      <c r="B187" s="32">
        <v>9200</v>
      </c>
      <c r="C187" s="32">
        <v>54517</v>
      </c>
      <c r="D187" s="32">
        <v>14816</v>
      </c>
      <c r="E187" s="32">
        <v>118140</v>
      </c>
      <c r="F187" s="32">
        <v>17</v>
      </c>
      <c r="G187" s="32">
        <v>236</v>
      </c>
      <c r="H187" s="32">
        <v>476</v>
      </c>
      <c r="I187" s="32">
        <v>430</v>
      </c>
      <c r="J187" s="32">
        <v>7802</v>
      </c>
      <c r="K187" s="32">
        <v>9432</v>
      </c>
      <c r="L187" s="32">
        <v>11676</v>
      </c>
      <c r="M187" s="32">
        <v>18880</v>
      </c>
      <c r="N187" s="32">
        <v>1091</v>
      </c>
      <c r="O187" s="32">
        <v>1972</v>
      </c>
      <c r="P187" s="32">
        <v>892</v>
      </c>
      <c r="Q187" s="32">
        <v>1747</v>
      </c>
      <c r="R187" s="32">
        <v>7</v>
      </c>
      <c r="S187" s="32">
        <v>15</v>
      </c>
      <c r="T187" s="32">
        <v>7</v>
      </c>
      <c r="U187" s="32">
        <v>17</v>
      </c>
      <c r="V187" s="32">
        <v>1</v>
      </c>
      <c r="W187" s="32">
        <v>28</v>
      </c>
      <c r="X187" s="32">
        <v>0</v>
      </c>
      <c r="Y187" s="32">
        <v>30</v>
      </c>
      <c r="Z187" s="32">
        <v>1</v>
      </c>
      <c r="AA187" s="32">
        <v>105</v>
      </c>
      <c r="AB187" s="32">
        <v>1</v>
      </c>
      <c r="AC187" s="32">
        <v>92</v>
      </c>
      <c r="AD187" s="32">
        <f t="shared" si="39"/>
        <v>18119</v>
      </c>
      <c r="AE187" s="32">
        <f t="shared" si="34"/>
        <v>66305</v>
      </c>
      <c r="AF187" s="32">
        <f t="shared" si="35"/>
        <v>27868</v>
      </c>
      <c r="AG187" s="37">
        <f t="shared" si="36"/>
        <v>53.8</v>
      </c>
      <c r="AH187" s="32">
        <f t="shared" si="37"/>
        <v>139336</v>
      </c>
      <c r="AI187" s="37">
        <f t="shared" si="38"/>
        <v>110.1</v>
      </c>
    </row>
    <row r="188" spans="1:35" s="605" customFormat="1" ht="19.5" customHeight="1">
      <c r="A188" s="610" t="s">
        <v>64</v>
      </c>
      <c r="B188" s="32">
        <v>1748</v>
      </c>
      <c r="C188" s="32">
        <v>10531</v>
      </c>
      <c r="D188" s="32">
        <v>2176</v>
      </c>
      <c r="E188" s="32">
        <v>16796</v>
      </c>
      <c r="F188" s="32">
        <v>208</v>
      </c>
      <c r="G188" s="32">
        <v>5111</v>
      </c>
      <c r="H188" s="32">
        <v>189</v>
      </c>
      <c r="I188" s="32">
        <v>6617</v>
      </c>
      <c r="J188" s="32">
        <v>12931</v>
      </c>
      <c r="K188" s="32">
        <v>20522</v>
      </c>
      <c r="L188" s="32">
        <v>15532</v>
      </c>
      <c r="M188" s="32">
        <v>30493</v>
      </c>
      <c r="N188" s="32">
        <v>3</v>
      </c>
      <c r="O188" s="32">
        <v>27</v>
      </c>
      <c r="P188" s="32">
        <v>0</v>
      </c>
      <c r="Q188" s="32">
        <v>2</v>
      </c>
      <c r="R188" s="32">
        <v>1</v>
      </c>
      <c r="S188" s="32">
        <v>30</v>
      </c>
      <c r="T188" s="32">
        <v>1</v>
      </c>
      <c r="U188" s="32">
        <v>37</v>
      </c>
      <c r="V188" s="32">
        <v>7</v>
      </c>
      <c r="W188" s="32">
        <v>146</v>
      </c>
      <c r="X188" s="32">
        <v>7</v>
      </c>
      <c r="Y188" s="32">
        <v>152</v>
      </c>
      <c r="Z188" s="32">
        <v>392</v>
      </c>
      <c r="AA188" s="32">
        <v>5914</v>
      </c>
      <c r="AB188" s="32">
        <v>503</v>
      </c>
      <c r="AC188" s="32">
        <v>4775</v>
      </c>
      <c r="AD188" s="32">
        <f t="shared" si="39"/>
        <v>15290</v>
      </c>
      <c r="AE188" s="32">
        <f t="shared" si="34"/>
        <v>42281</v>
      </c>
      <c r="AF188" s="32">
        <f t="shared" si="35"/>
        <v>18408</v>
      </c>
      <c r="AG188" s="37">
        <f t="shared" si="36"/>
        <v>20.399999999999999</v>
      </c>
      <c r="AH188" s="32">
        <f t="shared" si="37"/>
        <v>58872</v>
      </c>
      <c r="AI188" s="37">
        <f t="shared" si="38"/>
        <v>39.200000000000003</v>
      </c>
    </row>
    <row r="189" spans="1:35" s="605" customFormat="1" ht="19.5" customHeight="1">
      <c r="A189" s="610" t="s">
        <v>51</v>
      </c>
      <c r="B189" s="32">
        <v>6047</v>
      </c>
      <c r="C189" s="32">
        <v>30876</v>
      </c>
      <c r="D189" s="32">
        <v>4900</v>
      </c>
      <c r="E189" s="32">
        <v>37799</v>
      </c>
      <c r="F189" s="32">
        <v>661</v>
      </c>
      <c r="G189" s="32">
        <v>7055</v>
      </c>
      <c r="H189" s="32">
        <v>1207</v>
      </c>
      <c r="I189" s="32">
        <v>14132</v>
      </c>
      <c r="J189" s="32">
        <v>4049</v>
      </c>
      <c r="K189" s="32">
        <v>6138</v>
      </c>
      <c r="L189" s="32">
        <v>3009</v>
      </c>
      <c r="M189" s="32">
        <v>5370</v>
      </c>
      <c r="N189" s="32">
        <v>120</v>
      </c>
      <c r="O189" s="32">
        <v>1067</v>
      </c>
      <c r="P189" s="32">
        <v>104</v>
      </c>
      <c r="Q189" s="32">
        <v>1260</v>
      </c>
      <c r="R189" s="32">
        <v>0</v>
      </c>
      <c r="S189" s="32">
        <v>0</v>
      </c>
      <c r="T189" s="32">
        <v>141</v>
      </c>
      <c r="U189" s="32">
        <v>357</v>
      </c>
      <c r="V189" s="32">
        <v>4575</v>
      </c>
      <c r="W189" s="32">
        <v>76397</v>
      </c>
      <c r="X189" s="32">
        <v>3416</v>
      </c>
      <c r="Y189" s="32">
        <v>83195</v>
      </c>
      <c r="Z189" s="32">
        <v>140</v>
      </c>
      <c r="AA189" s="32">
        <v>382</v>
      </c>
      <c r="AB189" s="32">
        <v>127</v>
      </c>
      <c r="AC189" s="32">
        <v>160</v>
      </c>
      <c r="AD189" s="32">
        <f t="shared" si="39"/>
        <v>15592</v>
      </c>
      <c r="AE189" s="32">
        <f t="shared" si="34"/>
        <v>121915</v>
      </c>
      <c r="AF189" s="32">
        <f t="shared" si="35"/>
        <v>12904</v>
      </c>
      <c r="AG189" s="37">
        <f t="shared" si="36"/>
        <v>-17.2</v>
      </c>
      <c r="AH189" s="32">
        <f t="shared" si="37"/>
        <v>142273</v>
      </c>
      <c r="AI189" s="37">
        <f t="shared" si="38"/>
        <v>16.7</v>
      </c>
    </row>
    <row r="190" spans="1:35" s="605" customFormat="1" ht="19.5" customHeight="1">
      <c r="A190" s="610" t="s">
        <v>61</v>
      </c>
      <c r="B190" s="32">
        <v>3695</v>
      </c>
      <c r="C190" s="32">
        <v>27814</v>
      </c>
      <c r="D190" s="32">
        <v>3448</v>
      </c>
      <c r="E190" s="32">
        <v>32118</v>
      </c>
      <c r="F190" s="32">
        <v>380</v>
      </c>
      <c r="G190" s="32">
        <v>12248</v>
      </c>
      <c r="H190" s="32">
        <v>361</v>
      </c>
      <c r="I190" s="32">
        <v>12117</v>
      </c>
      <c r="J190" s="32">
        <v>9647</v>
      </c>
      <c r="K190" s="32">
        <v>55896</v>
      </c>
      <c r="L190" s="32">
        <v>9120</v>
      </c>
      <c r="M190" s="32">
        <v>44512</v>
      </c>
      <c r="N190" s="32">
        <v>414</v>
      </c>
      <c r="O190" s="32">
        <v>1122</v>
      </c>
      <c r="P190" s="32">
        <v>115</v>
      </c>
      <c r="Q190" s="32">
        <v>572</v>
      </c>
      <c r="R190" s="32">
        <v>441</v>
      </c>
      <c r="S190" s="32">
        <v>1769</v>
      </c>
      <c r="T190" s="32">
        <v>431</v>
      </c>
      <c r="U190" s="32">
        <v>1898</v>
      </c>
      <c r="V190" s="32">
        <v>13</v>
      </c>
      <c r="W190" s="32">
        <v>310</v>
      </c>
      <c r="X190" s="32">
        <v>10</v>
      </c>
      <c r="Y190" s="32">
        <v>301</v>
      </c>
      <c r="Z190" s="32">
        <v>292</v>
      </c>
      <c r="AA190" s="32">
        <v>10112</v>
      </c>
      <c r="AB190" s="32">
        <v>396</v>
      </c>
      <c r="AC190" s="32">
        <v>7962</v>
      </c>
      <c r="AD190" s="32">
        <f t="shared" si="39"/>
        <v>14882</v>
      </c>
      <c r="AE190" s="32">
        <f t="shared" si="34"/>
        <v>109271</v>
      </c>
      <c r="AF190" s="32">
        <f t="shared" si="35"/>
        <v>13881</v>
      </c>
      <c r="AG190" s="37">
        <f t="shared" si="36"/>
        <v>-6.7</v>
      </c>
      <c r="AH190" s="32">
        <f t="shared" si="37"/>
        <v>99480</v>
      </c>
      <c r="AI190" s="37">
        <f t="shared" si="38"/>
        <v>-9</v>
      </c>
    </row>
    <row r="191" spans="1:35" s="605" customFormat="1" ht="19.5" customHeight="1">
      <c r="A191" s="610" t="s">
        <v>53</v>
      </c>
      <c r="B191" s="32">
        <v>5161</v>
      </c>
      <c r="C191" s="32">
        <v>14500</v>
      </c>
      <c r="D191" s="32">
        <v>5073</v>
      </c>
      <c r="E191" s="32">
        <v>20852</v>
      </c>
      <c r="F191" s="32">
        <v>0</v>
      </c>
      <c r="G191" s="32">
        <v>4</v>
      </c>
      <c r="H191" s="32">
        <v>40</v>
      </c>
      <c r="I191" s="32">
        <v>215</v>
      </c>
      <c r="J191" s="32">
        <v>4824</v>
      </c>
      <c r="K191" s="32">
        <v>6060</v>
      </c>
      <c r="L191" s="32">
        <v>4175</v>
      </c>
      <c r="M191" s="32">
        <v>7357</v>
      </c>
      <c r="N191" s="32">
        <v>24</v>
      </c>
      <c r="O191" s="32">
        <v>39</v>
      </c>
      <c r="P191" s="32">
        <v>92</v>
      </c>
      <c r="Q191" s="32">
        <v>175</v>
      </c>
      <c r="R191" s="32">
        <v>1</v>
      </c>
      <c r="S191" s="32">
        <v>97</v>
      </c>
      <c r="T191" s="32">
        <v>0</v>
      </c>
      <c r="U191" s="32">
        <v>1</v>
      </c>
      <c r="V191" s="32">
        <v>0</v>
      </c>
      <c r="W191" s="32">
        <v>1</v>
      </c>
      <c r="X191" s="32">
        <v>0</v>
      </c>
      <c r="Y191" s="32">
        <v>3</v>
      </c>
      <c r="Z191" s="32">
        <v>32</v>
      </c>
      <c r="AA191" s="32">
        <v>397</v>
      </c>
      <c r="AB191" s="32">
        <v>12</v>
      </c>
      <c r="AC191" s="32">
        <v>1922</v>
      </c>
      <c r="AD191" s="32">
        <f t="shared" si="39"/>
        <v>10042</v>
      </c>
      <c r="AE191" s="32">
        <f t="shared" si="34"/>
        <v>21098</v>
      </c>
      <c r="AF191" s="32">
        <f t="shared" si="35"/>
        <v>9392</v>
      </c>
      <c r="AG191" s="37">
        <f t="shared" si="36"/>
        <v>-6.5</v>
      </c>
      <c r="AH191" s="32">
        <f t="shared" si="37"/>
        <v>30525</v>
      </c>
      <c r="AI191" s="37">
        <f t="shared" si="38"/>
        <v>44.7</v>
      </c>
    </row>
    <row r="192" spans="1:35" s="605" customFormat="1" ht="19.5" customHeight="1">
      <c r="A192" s="610" t="s">
        <v>85</v>
      </c>
      <c r="B192" s="32">
        <v>3196</v>
      </c>
      <c r="C192" s="32">
        <v>16046</v>
      </c>
      <c r="D192" s="32">
        <v>3413</v>
      </c>
      <c r="E192" s="32">
        <v>23805</v>
      </c>
      <c r="F192" s="32">
        <v>0</v>
      </c>
      <c r="G192" s="32">
        <v>13</v>
      </c>
      <c r="H192" s="32">
        <v>0</v>
      </c>
      <c r="I192" s="32">
        <v>0</v>
      </c>
      <c r="J192" s="32">
        <v>5509</v>
      </c>
      <c r="K192" s="32">
        <v>7184</v>
      </c>
      <c r="L192" s="32">
        <v>10521</v>
      </c>
      <c r="M192" s="32">
        <v>16292</v>
      </c>
      <c r="N192" s="32">
        <v>0</v>
      </c>
      <c r="O192" s="32">
        <v>2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4</v>
      </c>
      <c r="AA192" s="32">
        <v>15</v>
      </c>
      <c r="AB192" s="32">
        <v>0</v>
      </c>
      <c r="AC192" s="32">
        <v>41</v>
      </c>
      <c r="AD192" s="32">
        <f t="shared" si="39"/>
        <v>8709</v>
      </c>
      <c r="AE192" s="32">
        <f t="shared" si="34"/>
        <v>23260</v>
      </c>
      <c r="AF192" s="32">
        <f t="shared" si="35"/>
        <v>13934</v>
      </c>
      <c r="AG192" s="37">
        <f t="shared" si="36"/>
        <v>60</v>
      </c>
      <c r="AH192" s="32">
        <f t="shared" si="37"/>
        <v>40138</v>
      </c>
      <c r="AI192" s="37">
        <f t="shared" si="38"/>
        <v>72.599999999999994</v>
      </c>
    </row>
    <row r="193" spans="1:35" s="605" customFormat="1" ht="19.5" customHeight="1">
      <c r="A193" s="610" t="s">
        <v>81</v>
      </c>
      <c r="B193" s="32">
        <v>4175</v>
      </c>
      <c r="C193" s="32">
        <v>20610</v>
      </c>
      <c r="D193" s="32">
        <v>1265</v>
      </c>
      <c r="E193" s="32">
        <v>8657</v>
      </c>
      <c r="F193" s="32">
        <v>0</v>
      </c>
      <c r="G193" s="32">
        <v>0</v>
      </c>
      <c r="H193" s="32">
        <v>0</v>
      </c>
      <c r="I193" s="32">
        <v>0</v>
      </c>
      <c r="J193" s="32">
        <v>953</v>
      </c>
      <c r="K193" s="32">
        <v>1388</v>
      </c>
      <c r="L193" s="32">
        <v>61</v>
      </c>
      <c r="M193" s="32">
        <v>102</v>
      </c>
      <c r="N193" s="32">
        <v>4348</v>
      </c>
      <c r="O193" s="32">
        <v>7847</v>
      </c>
      <c r="P193" s="32">
        <v>4663</v>
      </c>
      <c r="Q193" s="32">
        <v>9258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f t="shared" si="39"/>
        <v>9476</v>
      </c>
      <c r="AE193" s="32">
        <f t="shared" si="34"/>
        <v>29845</v>
      </c>
      <c r="AF193" s="32">
        <f t="shared" si="35"/>
        <v>5989</v>
      </c>
      <c r="AG193" s="37">
        <f t="shared" si="36"/>
        <v>-36.799999999999997</v>
      </c>
      <c r="AH193" s="32">
        <f t="shared" si="37"/>
        <v>18017</v>
      </c>
      <c r="AI193" s="37">
        <f t="shared" si="38"/>
        <v>-39.6</v>
      </c>
    </row>
    <row r="194" spans="1:35" s="605" customFormat="1" ht="19.5" customHeight="1">
      <c r="A194" s="610" t="s">
        <v>82</v>
      </c>
      <c r="B194" s="32">
        <v>5475</v>
      </c>
      <c r="C194" s="32">
        <v>7746</v>
      </c>
      <c r="D194" s="32">
        <v>1865</v>
      </c>
      <c r="E194" s="32">
        <v>14318</v>
      </c>
      <c r="F194" s="32">
        <v>94</v>
      </c>
      <c r="G194" s="32">
        <v>1496</v>
      </c>
      <c r="H194" s="32">
        <v>146</v>
      </c>
      <c r="I194" s="32">
        <v>2735</v>
      </c>
      <c r="J194" s="32">
        <v>4236</v>
      </c>
      <c r="K194" s="32">
        <v>7162</v>
      </c>
      <c r="L194" s="32">
        <v>7531</v>
      </c>
      <c r="M194" s="32">
        <v>12669</v>
      </c>
      <c r="N194" s="32">
        <v>1</v>
      </c>
      <c r="O194" s="32">
        <v>2</v>
      </c>
      <c r="P194" s="32">
        <v>1</v>
      </c>
      <c r="Q194" s="32">
        <v>2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82</v>
      </c>
      <c r="AA194" s="32">
        <v>423</v>
      </c>
      <c r="AB194" s="32">
        <v>24</v>
      </c>
      <c r="AC194" s="32">
        <v>330</v>
      </c>
      <c r="AD194" s="32">
        <f t="shared" si="39"/>
        <v>9888</v>
      </c>
      <c r="AE194" s="32">
        <f t="shared" si="34"/>
        <v>16829</v>
      </c>
      <c r="AF194" s="32">
        <f t="shared" si="35"/>
        <v>9567</v>
      </c>
      <c r="AG194" s="37">
        <f t="shared" si="36"/>
        <v>-3.2</v>
      </c>
      <c r="AH194" s="32">
        <f t="shared" si="37"/>
        <v>30054</v>
      </c>
      <c r="AI194" s="37">
        <f t="shared" si="38"/>
        <v>78.599999999999994</v>
      </c>
    </row>
    <row r="195" spans="1:35" s="605" customFormat="1" ht="19.5" customHeight="1">
      <c r="A195" s="610" t="s">
        <v>505</v>
      </c>
      <c r="B195" s="32">
        <v>5470</v>
      </c>
      <c r="C195" s="32">
        <v>24587</v>
      </c>
      <c r="D195" s="32">
        <v>4214</v>
      </c>
      <c r="E195" s="32">
        <v>55928</v>
      </c>
      <c r="F195" s="32">
        <v>0</v>
      </c>
      <c r="G195" s="32">
        <v>0</v>
      </c>
      <c r="H195" s="32">
        <v>0</v>
      </c>
      <c r="I195" s="32">
        <v>0</v>
      </c>
      <c r="J195" s="32">
        <v>1358</v>
      </c>
      <c r="K195" s="32">
        <v>1386</v>
      </c>
      <c r="L195" s="32">
        <v>1391</v>
      </c>
      <c r="M195" s="32">
        <v>2058</v>
      </c>
      <c r="N195" s="32">
        <v>0</v>
      </c>
      <c r="O195" s="32">
        <v>0</v>
      </c>
      <c r="P195" s="32">
        <v>136</v>
      </c>
      <c r="Q195" s="32">
        <v>307</v>
      </c>
      <c r="R195" s="32">
        <v>3584</v>
      </c>
      <c r="S195" s="32">
        <v>7977</v>
      </c>
      <c r="T195" s="32">
        <v>1416</v>
      </c>
      <c r="U195" s="32">
        <v>4202</v>
      </c>
      <c r="V195" s="32">
        <v>11</v>
      </c>
      <c r="W195" s="32">
        <v>186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f t="shared" si="39"/>
        <v>10423</v>
      </c>
      <c r="AE195" s="32">
        <f t="shared" si="34"/>
        <v>34136</v>
      </c>
      <c r="AF195" s="32">
        <f t="shared" si="35"/>
        <v>7157</v>
      </c>
      <c r="AG195" s="37">
        <f t="shared" si="36"/>
        <v>-31.3</v>
      </c>
      <c r="AH195" s="32">
        <f t="shared" si="37"/>
        <v>62495</v>
      </c>
      <c r="AI195" s="37">
        <f t="shared" si="38"/>
        <v>83.1</v>
      </c>
    </row>
    <row r="196" spans="1:35" s="605" customFormat="1" ht="19.5" customHeight="1">
      <c r="A196" s="610" t="s">
        <v>506</v>
      </c>
      <c r="B196" s="32">
        <v>0</v>
      </c>
      <c r="C196" s="32">
        <v>0</v>
      </c>
      <c r="D196" s="32">
        <v>19</v>
      </c>
      <c r="E196" s="32">
        <v>131</v>
      </c>
      <c r="F196" s="32">
        <v>0</v>
      </c>
      <c r="G196" s="32">
        <v>0</v>
      </c>
      <c r="H196" s="32">
        <v>0</v>
      </c>
      <c r="I196" s="32">
        <v>0</v>
      </c>
      <c r="J196" s="32">
        <v>5560</v>
      </c>
      <c r="K196" s="32">
        <v>6881</v>
      </c>
      <c r="L196" s="32">
        <v>3856</v>
      </c>
      <c r="M196" s="32">
        <v>5301</v>
      </c>
      <c r="N196" s="32">
        <v>430</v>
      </c>
      <c r="O196" s="32">
        <v>880</v>
      </c>
      <c r="P196" s="32">
        <v>375</v>
      </c>
      <c r="Q196" s="32">
        <v>808</v>
      </c>
      <c r="R196" s="32">
        <v>0</v>
      </c>
      <c r="S196" s="32">
        <v>0</v>
      </c>
      <c r="T196" s="32">
        <v>590</v>
      </c>
      <c r="U196" s="32">
        <v>1678</v>
      </c>
      <c r="V196" s="32">
        <v>0</v>
      </c>
      <c r="W196" s="32">
        <v>0</v>
      </c>
      <c r="X196" s="32">
        <v>0</v>
      </c>
      <c r="Y196" s="32">
        <v>0</v>
      </c>
      <c r="Z196" s="32">
        <v>141</v>
      </c>
      <c r="AA196" s="32">
        <v>827</v>
      </c>
      <c r="AB196" s="32">
        <v>177</v>
      </c>
      <c r="AC196" s="32">
        <v>1081</v>
      </c>
      <c r="AD196" s="32">
        <f t="shared" si="39"/>
        <v>6131</v>
      </c>
      <c r="AE196" s="32">
        <f t="shared" si="34"/>
        <v>8588</v>
      </c>
      <c r="AF196" s="32">
        <f t="shared" si="35"/>
        <v>5017</v>
      </c>
      <c r="AG196" s="37">
        <f t="shared" si="36"/>
        <v>-18.2</v>
      </c>
      <c r="AH196" s="32">
        <f t="shared" si="37"/>
        <v>8999</v>
      </c>
      <c r="AI196" s="37">
        <f t="shared" si="38"/>
        <v>4.8</v>
      </c>
    </row>
    <row r="197" spans="1:35" s="605" customFormat="1" ht="19.5" customHeight="1">
      <c r="A197" s="610" t="s">
        <v>233</v>
      </c>
      <c r="B197" s="32">
        <v>2063</v>
      </c>
      <c r="C197" s="32">
        <v>6728</v>
      </c>
      <c r="D197" s="32">
        <v>1727</v>
      </c>
      <c r="E197" s="32">
        <v>9419</v>
      </c>
      <c r="F197" s="32">
        <v>73</v>
      </c>
      <c r="G197" s="32">
        <v>1639</v>
      </c>
      <c r="H197" s="32">
        <v>572</v>
      </c>
      <c r="I197" s="32">
        <v>4325</v>
      </c>
      <c r="J197" s="32">
        <v>3915</v>
      </c>
      <c r="K197" s="32">
        <v>4639</v>
      </c>
      <c r="L197" s="32">
        <v>5562</v>
      </c>
      <c r="M197" s="32">
        <v>8754</v>
      </c>
      <c r="N197" s="32">
        <v>0</v>
      </c>
      <c r="O197" s="32">
        <v>0</v>
      </c>
      <c r="P197" s="32">
        <v>0</v>
      </c>
      <c r="Q197" s="32">
        <v>0</v>
      </c>
      <c r="R197" s="32">
        <v>439</v>
      </c>
      <c r="S197" s="32">
        <v>980</v>
      </c>
      <c r="T197" s="32">
        <v>620</v>
      </c>
      <c r="U197" s="32">
        <v>1861</v>
      </c>
      <c r="V197" s="32">
        <v>150</v>
      </c>
      <c r="W197" s="32">
        <v>2602</v>
      </c>
      <c r="X197" s="32">
        <v>150</v>
      </c>
      <c r="Y197" s="32">
        <v>3878</v>
      </c>
      <c r="Z197" s="32">
        <v>55</v>
      </c>
      <c r="AA197" s="32">
        <v>2925</v>
      </c>
      <c r="AB197" s="32">
        <v>81</v>
      </c>
      <c r="AC197" s="32">
        <v>3407</v>
      </c>
      <c r="AD197" s="32">
        <f t="shared" si="39"/>
        <v>6695</v>
      </c>
      <c r="AE197" s="32">
        <f t="shared" si="34"/>
        <v>19513</v>
      </c>
      <c r="AF197" s="32">
        <f t="shared" si="35"/>
        <v>8712</v>
      </c>
      <c r="AG197" s="37">
        <f t="shared" si="36"/>
        <v>30.1</v>
      </c>
      <c r="AH197" s="32">
        <f t="shared" si="37"/>
        <v>31644</v>
      </c>
      <c r="AI197" s="37">
        <f t="shared" si="38"/>
        <v>62.2</v>
      </c>
    </row>
    <row r="198" spans="1:35" s="605" customFormat="1" ht="19.5" customHeight="1">
      <c r="A198" s="30" t="s">
        <v>71</v>
      </c>
      <c r="B198" s="33">
        <f t="shared" ref="B198:M198" si="40">B199-SUM(B168:B197)</f>
        <v>47150</v>
      </c>
      <c r="C198" s="33">
        <f t="shared" si="40"/>
        <v>253876</v>
      </c>
      <c r="D198" s="33">
        <f t="shared" si="40"/>
        <v>41740</v>
      </c>
      <c r="E198" s="33">
        <f t="shared" si="40"/>
        <v>316523</v>
      </c>
      <c r="F198" s="33">
        <f t="shared" si="40"/>
        <v>12992</v>
      </c>
      <c r="G198" s="33">
        <f t="shared" si="40"/>
        <v>235282</v>
      </c>
      <c r="H198" s="33">
        <f t="shared" si="40"/>
        <v>13102</v>
      </c>
      <c r="I198" s="33">
        <f t="shared" si="40"/>
        <v>261167</v>
      </c>
      <c r="J198" s="33">
        <f t="shared" si="40"/>
        <v>40481</v>
      </c>
      <c r="K198" s="33">
        <f t="shared" si="40"/>
        <v>114242</v>
      </c>
      <c r="L198" s="33">
        <f t="shared" si="40"/>
        <v>68541</v>
      </c>
      <c r="M198" s="33">
        <f t="shared" si="40"/>
        <v>163639</v>
      </c>
      <c r="N198" s="33">
        <f>N199-SUM(N168:N197)</f>
        <v>8409</v>
      </c>
      <c r="O198" s="33">
        <f>O199-SUM(O168:O197)</f>
        <v>15678</v>
      </c>
      <c r="P198" s="33">
        <f>P199-SUM(P168:P197)</f>
        <v>9769</v>
      </c>
      <c r="Q198" s="33">
        <f>Q199-SUM(Q168:Q197)</f>
        <v>19715</v>
      </c>
      <c r="R198" s="33">
        <f t="shared" ref="R198:X198" si="41">R199-SUM(R168:R197)</f>
        <v>1274</v>
      </c>
      <c r="S198" s="33">
        <f t="shared" si="41"/>
        <v>4809</v>
      </c>
      <c r="T198" s="33">
        <f t="shared" si="41"/>
        <v>516</v>
      </c>
      <c r="U198" s="33">
        <f t="shared" si="41"/>
        <v>2877</v>
      </c>
      <c r="V198" s="33">
        <f t="shared" si="41"/>
        <v>28</v>
      </c>
      <c r="W198" s="33">
        <f t="shared" si="41"/>
        <v>470</v>
      </c>
      <c r="X198" s="33">
        <f t="shared" si="41"/>
        <v>31</v>
      </c>
      <c r="Y198" s="33">
        <f>Y199-SUM(Y168:Y197)</f>
        <v>2357</v>
      </c>
      <c r="Z198" s="33">
        <f t="shared" ref="Z198:AF198" si="42">Z199-SUM(Z168:Z197)</f>
        <v>2272</v>
      </c>
      <c r="AA198" s="33">
        <f t="shared" si="42"/>
        <v>35182</v>
      </c>
      <c r="AB198" s="33">
        <f t="shared" si="42"/>
        <v>3794</v>
      </c>
      <c r="AC198" s="33">
        <f t="shared" si="42"/>
        <v>44111</v>
      </c>
      <c r="AD198" s="33">
        <f t="shared" si="42"/>
        <v>112606</v>
      </c>
      <c r="AE198" s="33">
        <f t="shared" si="42"/>
        <v>659539</v>
      </c>
      <c r="AF198" s="33">
        <f t="shared" si="42"/>
        <v>137493</v>
      </c>
      <c r="AG198" s="38">
        <f t="shared" si="36"/>
        <v>22.1</v>
      </c>
      <c r="AH198" s="33">
        <f>AH199-SUM(AH168:AH197)</f>
        <v>810389</v>
      </c>
      <c r="AI198" s="38">
        <f t="shared" si="38"/>
        <v>22.9</v>
      </c>
    </row>
    <row r="199" spans="1:35" s="605" customFormat="1" ht="19.5" customHeight="1">
      <c r="A199" s="31" t="s">
        <v>72</v>
      </c>
      <c r="B199" s="35">
        <v>351210</v>
      </c>
      <c r="C199" s="36">
        <v>2045129</v>
      </c>
      <c r="D199" s="36">
        <v>403262</v>
      </c>
      <c r="E199" s="36">
        <v>3369554</v>
      </c>
      <c r="F199" s="36">
        <v>24247</v>
      </c>
      <c r="G199" s="36">
        <v>410309</v>
      </c>
      <c r="H199" s="36">
        <v>29728</v>
      </c>
      <c r="I199" s="36">
        <v>553582</v>
      </c>
      <c r="J199" s="36">
        <v>1184156</v>
      </c>
      <c r="K199" s="36">
        <v>2379891</v>
      </c>
      <c r="L199" s="36">
        <v>1307191</v>
      </c>
      <c r="M199" s="36">
        <v>3160820</v>
      </c>
      <c r="N199" s="36">
        <v>53169</v>
      </c>
      <c r="O199" s="36">
        <v>104049</v>
      </c>
      <c r="P199" s="36">
        <v>73322</v>
      </c>
      <c r="Q199" s="36">
        <v>151010</v>
      </c>
      <c r="R199" s="36">
        <v>22628</v>
      </c>
      <c r="S199" s="36">
        <v>57490</v>
      </c>
      <c r="T199" s="36">
        <v>17774</v>
      </c>
      <c r="U199" s="36">
        <v>54706</v>
      </c>
      <c r="V199" s="36">
        <v>6602</v>
      </c>
      <c r="W199" s="36">
        <v>114970</v>
      </c>
      <c r="X199" s="36">
        <v>6616</v>
      </c>
      <c r="Y199" s="36">
        <v>167645</v>
      </c>
      <c r="Z199" s="36">
        <v>63349</v>
      </c>
      <c r="AA199" s="36">
        <v>415099</v>
      </c>
      <c r="AB199" s="36">
        <v>67424</v>
      </c>
      <c r="AC199" s="36">
        <v>491551</v>
      </c>
      <c r="AD199" s="36">
        <f>SUM(B199+F199+J199+N199+R199+V199+Z199)</f>
        <v>1705361</v>
      </c>
      <c r="AE199" s="35">
        <f>SUM(C199+G199+K199+O199+S199+W199+AA199)</f>
        <v>5526937</v>
      </c>
      <c r="AF199" s="36">
        <f>SUM(D199+H199+L199+P199+T199+X199+AB199)</f>
        <v>1905317</v>
      </c>
      <c r="AG199" s="38">
        <f t="shared" si="36"/>
        <v>11.7</v>
      </c>
      <c r="AH199" s="35">
        <f>SUM(E199+I199+M199+Q199+U199+Y199+AC199)</f>
        <v>7948868</v>
      </c>
      <c r="AI199" s="38">
        <f t="shared" si="38"/>
        <v>43.8</v>
      </c>
    </row>
    <row r="200" spans="1:35" s="605" customFormat="1">
      <c r="A200" s="20"/>
      <c r="B200" s="20"/>
      <c r="C200" s="21"/>
      <c r="D200" s="22"/>
      <c r="E200" s="34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164"/>
      <c r="W200" s="164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>
      <c r="AD201" s="164"/>
      <c r="AE201" s="164"/>
      <c r="AF201" s="164"/>
      <c r="AH201" s="164"/>
    </row>
  </sheetData>
  <mergeCells count="290">
    <mergeCell ref="AH126:AH127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F126:AF127"/>
    <mergeCell ref="AD125:AE125"/>
    <mergeCell ref="AF125:AI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A121:AI121"/>
    <mergeCell ref="A124:A127"/>
    <mergeCell ref="B124:E124"/>
    <mergeCell ref="F124:I124"/>
    <mergeCell ref="J124:M124"/>
    <mergeCell ref="N124:Q124"/>
    <mergeCell ref="R124:U124"/>
    <mergeCell ref="V124:Y124"/>
    <mergeCell ref="Z124:AC124"/>
    <mergeCell ref="AD124:AI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AB125:AC125"/>
    <mergeCell ref="AF46:AF47"/>
    <mergeCell ref="AH46:AH47"/>
    <mergeCell ref="AA46:AA47"/>
    <mergeCell ref="AB46:AB47"/>
    <mergeCell ref="AC46:AC47"/>
    <mergeCell ref="AD46:AD47"/>
    <mergeCell ref="AE46:AE47"/>
    <mergeCell ref="V46:V47"/>
    <mergeCell ref="W46:W47"/>
    <mergeCell ref="X46:X47"/>
    <mergeCell ref="Y46:Y47"/>
    <mergeCell ref="Z46:Z47"/>
    <mergeCell ref="Q46:Q47"/>
    <mergeCell ref="R46:R47"/>
    <mergeCell ref="S46:S47"/>
    <mergeCell ref="T46:T47"/>
    <mergeCell ref="U46:U47"/>
    <mergeCell ref="L46:L47"/>
    <mergeCell ref="M46:M47"/>
    <mergeCell ref="N46:N47"/>
    <mergeCell ref="O46:O47"/>
    <mergeCell ref="P46:P47"/>
    <mergeCell ref="G46:G47"/>
    <mergeCell ref="H46:H47"/>
    <mergeCell ref="I46:I47"/>
    <mergeCell ref="J46:J47"/>
    <mergeCell ref="K46:K47"/>
    <mergeCell ref="B46:B47"/>
    <mergeCell ref="C46:C47"/>
    <mergeCell ref="D46:D47"/>
    <mergeCell ref="E46:E47"/>
    <mergeCell ref="F46:F47"/>
    <mergeCell ref="V44:Y44"/>
    <mergeCell ref="Z44:AC44"/>
    <mergeCell ref="AD44:AI44"/>
    <mergeCell ref="B45:C45"/>
    <mergeCell ref="D45:E45"/>
    <mergeCell ref="F45:G45"/>
    <mergeCell ref="H45:I45"/>
    <mergeCell ref="J45:K45"/>
    <mergeCell ref="L45:M45"/>
    <mergeCell ref="X45:Y45"/>
    <mergeCell ref="Z45:AA45"/>
    <mergeCell ref="AB45:AC45"/>
    <mergeCell ref="AD45:AE45"/>
    <mergeCell ref="AF45:AI45"/>
    <mergeCell ref="N45:O45"/>
    <mergeCell ref="P45:Q45"/>
    <mergeCell ref="R45:S45"/>
    <mergeCell ref="T45:U45"/>
    <mergeCell ref="V45:W45"/>
    <mergeCell ref="A1:AI1"/>
    <mergeCell ref="A4:A7"/>
    <mergeCell ref="B4:E4"/>
    <mergeCell ref="F4:I4"/>
    <mergeCell ref="J4:M4"/>
    <mergeCell ref="N4:Q4"/>
    <mergeCell ref="R4:U4"/>
    <mergeCell ref="V4:Y4"/>
    <mergeCell ref="Z4:AC4"/>
    <mergeCell ref="AD4:AI4"/>
    <mergeCell ref="B5:C5"/>
    <mergeCell ref="D5:E5"/>
    <mergeCell ref="F5:G5"/>
    <mergeCell ref="H5:I5"/>
    <mergeCell ref="J5:K5"/>
    <mergeCell ref="G6:G7"/>
    <mergeCell ref="N5:O5"/>
    <mergeCell ref="P5:Q5"/>
    <mergeCell ref="R5:S5"/>
    <mergeCell ref="T5:U5"/>
    <mergeCell ref="L5:M5"/>
    <mergeCell ref="B6:B7"/>
    <mergeCell ref="C6:C7"/>
    <mergeCell ref="D6:D7"/>
    <mergeCell ref="E6:E7"/>
    <mergeCell ref="F6:F7"/>
    <mergeCell ref="M6:M7"/>
    <mergeCell ref="Z5:AA5"/>
    <mergeCell ref="AB5:AC5"/>
    <mergeCell ref="AD5:AE5"/>
    <mergeCell ref="AF5:AI5"/>
    <mergeCell ref="V5:W5"/>
    <mergeCell ref="X5:Y5"/>
    <mergeCell ref="Y6:Y7"/>
    <mergeCell ref="N6:N7"/>
    <mergeCell ref="O6:O7"/>
    <mergeCell ref="P6:P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V6:V7"/>
    <mergeCell ref="AD85:AE85"/>
    <mergeCell ref="AF85:AI85"/>
    <mergeCell ref="AC86:AC87"/>
    <mergeCell ref="AD86:AD87"/>
    <mergeCell ref="AE86:AE87"/>
    <mergeCell ref="AF86:AF87"/>
    <mergeCell ref="AH86:AH87"/>
    <mergeCell ref="W6:W7"/>
    <mergeCell ref="X6:X7"/>
    <mergeCell ref="AF6:AF7"/>
    <mergeCell ref="AH6:AH7"/>
    <mergeCell ref="Z6:Z7"/>
    <mergeCell ref="AA6:AA7"/>
    <mergeCell ref="AB6:AB7"/>
    <mergeCell ref="AC6:AC7"/>
    <mergeCell ref="AD6:AD7"/>
    <mergeCell ref="AE6:AE7"/>
    <mergeCell ref="A41:AI41"/>
    <mergeCell ref="A44:A47"/>
    <mergeCell ref="B44:E44"/>
    <mergeCell ref="F44:I44"/>
    <mergeCell ref="J44:M44"/>
    <mergeCell ref="N44:Q44"/>
    <mergeCell ref="R44:U44"/>
    <mergeCell ref="A81:AI81"/>
    <mergeCell ref="A84:A87"/>
    <mergeCell ref="B84:E84"/>
    <mergeCell ref="F84:I84"/>
    <mergeCell ref="J84:M84"/>
    <mergeCell ref="N84:Q84"/>
    <mergeCell ref="R84:U84"/>
    <mergeCell ref="V84:Y84"/>
    <mergeCell ref="Z84:AC84"/>
    <mergeCell ref="AD84:AI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A161:AI161"/>
    <mergeCell ref="A164:A167"/>
    <mergeCell ref="B164:E164"/>
    <mergeCell ref="F164:I164"/>
    <mergeCell ref="J164:M164"/>
    <mergeCell ref="N164:Q164"/>
    <mergeCell ref="R164:U164"/>
    <mergeCell ref="V164:Y164"/>
    <mergeCell ref="Z164:AC164"/>
    <mergeCell ref="AD164:AI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I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AH166:AH167"/>
    <mergeCell ref="X166:X167"/>
    <mergeCell ref="Y166:Y167"/>
    <mergeCell ref="Z166:Z167"/>
    <mergeCell ref="AA166:AA167"/>
    <mergeCell ref="AB166:AB167"/>
    <mergeCell ref="AC166:AC167"/>
    <mergeCell ref="AD166:AD167"/>
    <mergeCell ref="AE166:AE167"/>
    <mergeCell ref="AF166:AF167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79"/>
  <sheetViews>
    <sheetView workbookViewId="0">
      <pane xSplit="7" ySplit="4" topLeftCell="W5" activePane="bottomRight" state="frozen"/>
      <selection pane="topRight" activeCell="H1" sqref="H1"/>
      <selection pane="bottomLeft" activeCell="A5" sqref="A5"/>
      <selection pane="bottomRight" sqref="A1:B1"/>
    </sheetView>
  </sheetViews>
  <sheetFormatPr defaultRowHeight="16.5"/>
  <cols>
    <col min="1" max="1" width="6" style="18" customWidth="1"/>
    <col min="2" max="2" width="18.875" style="367" customWidth="1"/>
    <col min="3" max="4" width="11" style="67" hidden="1" customWidth="1"/>
    <col min="5" max="5" width="11" style="68" hidden="1" customWidth="1"/>
    <col min="6" max="6" width="11.25" style="68" hidden="1" customWidth="1"/>
    <col min="7" max="7" width="11" style="595" customWidth="1"/>
    <col min="8" max="8" width="11" style="595" hidden="1" customWidth="1"/>
    <col min="9" max="9" width="11" style="623" hidden="1" customWidth="1"/>
    <col min="10" max="10" width="9" hidden="1" customWidth="1"/>
    <col min="11" max="12" width="11" style="304" hidden="1" customWidth="1"/>
    <col min="13" max="13" width="9" style="277" hidden="1" customWidth="1"/>
    <col min="14" max="15" width="11" style="595" hidden="1" customWidth="1"/>
    <col min="16" max="16" width="9" style="277" hidden="1" customWidth="1"/>
    <col min="17" max="18" width="11" style="304" hidden="1" customWidth="1"/>
    <col min="19" max="19" width="9" style="277" hidden="1" customWidth="1"/>
    <col min="20" max="21" width="11" style="595" hidden="1" customWidth="1"/>
    <col min="22" max="22" width="9" style="277" hidden="1" customWidth="1"/>
    <col min="23" max="24" width="11" style="304" hidden="1" customWidth="1"/>
    <col min="25" max="25" width="9" style="277" hidden="1" customWidth="1"/>
    <col min="26" max="27" width="11" style="623" hidden="1" customWidth="1"/>
    <col min="28" max="28" width="9" style="277" hidden="1" customWidth="1"/>
    <col min="29" max="30" width="11" style="304" customWidth="1"/>
    <col min="31" max="31" width="9" style="277" customWidth="1"/>
    <col min="32" max="33" width="11" style="595" customWidth="1"/>
    <col min="34" max="34" width="9" style="277" customWidth="1"/>
  </cols>
  <sheetData>
    <row r="1" spans="1:34">
      <c r="A1" s="840" t="s">
        <v>86</v>
      </c>
      <c r="B1" s="840"/>
      <c r="C1" s="57"/>
      <c r="G1" s="163" t="s">
        <v>325</v>
      </c>
      <c r="H1" s="222"/>
      <c r="I1" s="618"/>
      <c r="J1" s="228"/>
      <c r="K1" s="222"/>
      <c r="L1" s="222"/>
      <c r="M1" s="228"/>
      <c r="N1" s="222"/>
      <c r="O1" s="222"/>
      <c r="P1" s="228"/>
      <c r="Q1" s="222"/>
      <c r="R1" s="222"/>
      <c r="S1" s="228"/>
      <c r="T1" s="222"/>
      <c r="U1" s="222"/>
      <c r="V1" s="228"/>
      <c r="W1" s="222"/>
      <c r="X1" s="222"/>
      <c r="Y1" s="228"/>
      <c r="Z1" s="618"/>
      <c r="AA1" s="618"/>
      <c r="AB1" s="228"/>
      <c r="AC1" s="222"/>
      <c r="AD1" s="222"/>
      <c r="AE1" s="228"/>
      <c r="AF1" s="222"/>
      <c r="AG1" s="222"/>
      <c r="AH1" s="228"/>
    </row>
    <row r="2" spans="1:34">
      <c r="A2" s="60"/>
      <c r="B2" s="26"/>
      <c r="C2" s="61"/>
      <c r="D2" s="61"/>
      <c r="E2" s="223"/>
      <c r="F2" s="223"/>
      <c r="G2" s="223"/>
      <c r="H2" s="223"/>
      <c r="I2" s="619"/>
      <c r="J2" s="229" t="s">
        <v>87</v>
      </c>
      <c r="K2" s="223"/>
      <c r="L2" s="223"/>
      <c r="M2" s="237"/>
      <c r="N2" s="223"/>
      <c r="O2" s="223"/>
      <c r="P2" s="237" t="s">
        <v>87</v>
      </c>
      <c r="Q2" s="223"/>
      <c r="R2" s="223"/>
      <c r="S2" s="237"/>
      <c r="T2" s="223"/>
      <c r="U2" s="223"/>
      <c r="V2" s="237" t="s">
        <v>87</v>
      </c>
      <c r="W2" s="223"/>
      <c r="X2" s="223"/>
      <c r="Y2" s="237"/>
      <c r="Z2" s="619"/>
      <c r="AA2" s="619"/>
      <c r="AB2" s="237" t="s">
        <v>87</v>
      </c>
      <c r="AC2" s="223"/>
      <c r="AD2" s="223"/>
      <c r="AE2" s="237"/>
      <c r="AF2" s="223"/>
      <c r="AG2" s="223"/>
      <c r="AH2" s="237" t="s">
        <v>87</v>
      </c>
    </row>
    <row r="3" spans="1:34">
      <c r="A3" s="839" t="s">
        <v>88</v>
      </c>
      <c r="B3" s="839"/>
      <c r="C3" s="838" t="s">
        <v>2</v>
      </c>
      <c r="D3" s="838" t="s">
        <v>74</v>
      </c>
      <c r="E3" s="838" t="s">
        <v>76</v>
      </c>
      <c r="F3" s="838" t="s">
        <v>294</v>
      </c>
      <c r="G3" s="838" t="s">
        <v>431</v>
      </c>
      <c r="H3" s="837" t="s">
        <v>33</v>
      </c>
      <c r="I3" s="838"/>
      <c r="J3" s="839"/>
      <c r="K3" s="837" t="s">
        <v>471</v>
      </c>
      <c r="L3" s="838"/>
      <c r="M3" s="839"/>
      <c r="N3" s="837" t="s">
        <v>472</v>
      </c>
      <c r="O3" s="838"/>
      <c r="P3" s="839"/>
      <c r="Q3" s="837" t="s">
        <v>477</v>
      </c>
      <c r="R3" s="838"/>
      <c r="S3" s="839"/>
      <c r="T3" s="837" t="s">
        <v>478</v>
      </c>
      <c r="U3" s="838"/>
      <c r="V3" s="839"/>
      <c r="W3" s="837" t="s">
        <v>484</v>
      </c>
      <c r="X3" s="838"/>
      <c r="Y3" s="839"/>
      <c r="Z3" s="837" t="s">
        <v>486</v>
      </c>
      <c r="AA3" s="838"/>
      <c r="AB3" s="839"/>
      <c r="AC3" s="837" t="s">
        <v>495</v>
      </c>
      <c r="AD3" s="838"/>
      <c r="AE3" s="839"/>
      <c r="AF3" s="837" t="s">
        <v>496</v>
      </c>
      <c r="AG3" s="838"/>
      <c r="AH3" s="839"/>
    </row>
    <row r="4" spans="1:34">
      <c r="A4" s="839"/>
      <c r="B4" s="839"/>
      <c r="C4" s="838"/>
      <c r="D4" s="838"/>
      <c r="E4" s="838"/>
      <c r="F4" s="838"/>
      <c r="G4" s="838"/>
      <c r="H4" s="535" t="s">
        <v>431</v>
      </c>
      <c r="I4" s="697" t="s">
        <v>503</v>
      </c>
      <c r="J4" s="531" t="s">
        <v>5</v>
      </c>
      <c r="K4" s="535" t="s">
        <v>431</v>
      </c>
      <c r="L4" s="533" t="s">
        <v>503</v>
      </c>
      <c r="M4" s="242" t="s">
        <v>5</v>
      </c>
      <c r="N4" s="535" t="s">
        <v>431</v>
      </c>
      <c r="O4" s="533" t="s">
        <v>503</v>
      </c>
      <c r="P4" s="531" t="s">
        <v>5</v>
      </c>
      <c r="Q4" s="535" t="s">
        <v>431</v>
      </c>
      <c r="R4" s="533" t="s">
        <v>503</v>
      </c>
      <c r="S4" s="531" t="s">
        <v>5</v>
      </c>
      <c r="T4" s="535" t="s">
        <v>431</v>
      </c>
      <c r="U4" s="533" t="s">
        <v>503</v>
      </c>
      <c r="V4" s="531" t="s">
        <v>5</v>
      </c>
      <c r="W4" s="535" t="s">
        <v>431</v>
      </c>
      <c r="X4" s="533" t="s">
        <v>503</v>
      </c>
      <c r="Y4" s="531" t="s">
        <v>5</v>
      </c>
      <c r="Z4" s="698" t="s">
        <v>431</v>
      </c>
      <c r="AA4" s="697" t="s">
        <v>503</v>
      </c>
      <c r="AB4" s="531" t="s">
        <v>5</v>
      </c>
      <c r="AC4" s="535" t="s">
        <v>431</v>
      </c>
      <c r="AD4" s="533" t="s">
        <v>503</v>
      </c>
      <c r="AE4" s="531" t="s">
        <v>5</v>
      </c>
      <c r="AF4" s="535" t="s">
        <v>431</v>
      </c>
      <c r="AG4" s="533" t="s">
        <v>503</v>
      </c>
      <c r="AH4" s="531" t="s">
        <v>5</v>
      </c>
    </row>
    <row r="5" spans="1:34">
      <c r="A5" s="3"/>
      <c r="B5" s="39" t="s">
        <v>326</v>
      </c>
      <c r="C5" s="183">
        <v>120592</v>
      </c>
      <c r="D5" s="183">
        <v>114327</v>
      </c>
      <c r="E5" s="182">
        <v>124658</v>
      </c>
      <c r="F5" s="324">
        <v>128458</v>
      </c>
      <c r="G5" s="613">
        <v>156152</v>
      </c>
      <c r="H5" s="383">
        <v>8792</v>
      </c>
      <c r="I5" s="620">
        <v>8386</v>
      </c>
      <c r="J5" s="226">
        <f>ROUND(((I5/H5-1)*100), 1)</f>
        <v>-4.5999999999999996</v>
      </c>
      <c r="K5" s="307">
        <f t="shared" ref="K5:K16" si="0">N5-H5</f>
        <v>4100</v>
      </c>
      <c r="L5" s="307">
        <f t="shared" ref="L5:L16" si="1">O5-I5</f>
        <v>15276</v>
      </c>
      <c r="M5" s="235">
        <f>ROUND(((L5/K5-1)*100), 1)</f>
        <v>272.60000000000002</v>
      </c>
      <c r="N5" s="383">
        <v>12892</v>
      </c>
      <c r="O5" s="383">
        <v>23662</v>
      </c>
      <c r="P5" s="235">
        <f>ROUND(((O5/N5-1)*100), 1)</f>
        <v>83.5</v>
      </c>
      <c r="Q5" s="307">
        <f t="shared" ref="Q5:Q16" si="2">T5-N5</f>
        <v>5422</v>
      </c>
      <c r="R5" s="307">
        <f t="shared" ref="R5:R16" si="3">U5-O5</f>
        <v>11590</v>
      </c>
      <c r="S5" s="235">
        <f>ROUND(((R5/Q5-1)*100), 1)</f>
        <v>113.8</v>
      </c>
      <c r="T5" s="383">
        <v>18314</v>
      </c>
      <c r="U5" s="383">
        <v>35252</v>
      </c>
      <c r="V5" s="235">
        <f>ROUND(((U5/T5-1)*100), 1)</f>
        <v>92.5</v>
      </c>
      <c r="W5" s="307">
        <f t="shared" ref="W5:W16" si="4">Z5-T5</f>
        <v>15638</v>
      </c>
      <c r="X5" s="307">
        <f t="shared" ref="X5:X16" si="5">AA5-U5</f>
        <v>17878</v>
      </c>
      <c r="Y5" s="235">
        <f>ROUND(((X5/W5-1)*100), 1)</f>
        <v>14.3</v>
      </c>
      <c r="Z5" s="620">
        <v>33952</v>
      </c>
      <c r="AA5" s="620">
        <v>53130</v>
      </c>
      <c r="AB5" s="235">
        <f t="shared" ref="AB5:AB10" si="6">ROUND(((AA5/Z5-1)*100), 1)</f>
        <v>56.5</v>
      </c>
      <c r="AC5" s="307">
        <f t="shared" ref="AC5:AC16" si="7">AF5-Z5</f>
        <v>13729</v>
      </c>
      <c r="AD5" s="307">
        <f t="shared" ref="AD5:AD16" si="8">AG5-AA5</f>
        <v>14791</v>
      </c>
      <c r="AE5" s="235">
        <f>ROUND(((AD5/AC5-1)*100), 1)</f>
        <v>7.7</v>
      </c>
      <c r="AF5" s="383">
        <v>47681</v>
      </c>
      <c r="AG5" s="383">
        <v>67921</v>
      </c>
      <c r="AH5" s="235">
        <f t="shared" ref="AH5:AH9" si="9">ROUND(((AG5/AF5-1)*100), 1)</f>
        <v>42.4</v>
      </c>
    </row>
    <row r="6" spans="1:34">
      <c r="A6" s="3" t="s">
        <v>90</v>
      </c>
      <c r="B6" s="39" t="s">
        <v>327</v>
      </c>
      <c r="C6" s="182">
        <v>55349</v>
      </c>
      <c r="D6" s="182">
        <v>50368</v>
      </c>
      <c r="E6" s="182">
        <v>36917</v>
      </c>
      <c r="F6" s="324">
        <v>41091</v>
      </c>
      <c r="G6" s="613">
        <v>45654</v>
      </c>
      <c r="H6" s="383">
        <v>2308</v>
      </c>
      <c r="I6" s="620">
        <v>5898</v>
      </c>
      <c r="J6" s="226">
        <f>ROUND(((I6/H6-1)*100), 1)</f>
        <v>155.5</v>
      </c>
      <c r="K6" s="307">
        <f t="shared" si="0"/>
        <v>5782</v>
      </c>
      <c r="L6" s="383">
        <f t="shared" si="1"/>
        <v>3587</v>
      </c>
      <c r="M6" s="235">
        <f>ROUND(((L6/K6-1)*100), 1)</f>
        <v>-38</v>
      </c>
      <c r="N6" s="383">
        <v>8090</v>
      </c>
      <c r="O6" s="383">
        <v>9485</v>
      </c>
      <c r="P6" s="235">
        <f>ROUND(((O6/N6-1)*100), 1)</f>
        <v>17.2</v>
      </c>
      <c r="Q6" s="307">
        <f t="shared" si="2"/>
        <v>4199</v>
      </c>
      <c r="R6" s="383">
        <f t="shared" si="3"/>
        <v>3784</v>
      </c>
      <c r="S6" s="235">
        <f>ROUND(((R6/Q6-1)*100), 1)</f>
        <v>-9.9</v>
      </c>
      <c r="T6" s="383">
        <v>12289</v>
      </c>
      <c r="U6" s="383">
        <v>13269</v>
      </c>
      <c r="V6" s="235">
        <f>ROUND(((U6/T6-1)*100), 1)</f>
        <v>8</v>
      </c>
      <c r="W6" s="307">
        <f t="shared" si="4"/>
        <v>2341</v>
      </c>
      <c r="X6" s="383">
        <f t="shared" si="5"/>
        <v>1501</v>
      </c>
      <c r="Y6" s="235">
        <f>ROUND(((X6/W6-1)*100), 1)</f>
        <v>-35.9</v>
      </c>
      <c r="Z6" s="620">
        <v>14630</v>
      </c>
      <c r="AA6" s="620">
        <v>14770</v>
      </c>
      <c r="AB6" s="235">
        <f t="shared" si="6"/>
        <v>1</v>
      </c>
      <c r="AC6" s="307">
        <f t="shared" si="7"/>
        <v>3020</v>
      </c>
      <c r="AD6" s="383">
        <f t="shared" si="8"/>
        <v>3107</v>
      </c>
      <c r="AE6" s="235">
        <f>ROUND(((AD6/AC6-1)*100), 1)</f>
        <v>2.9</v>
      </c>
      <c r="AF6" s="383">
        <v>17650</v>
      </c>
      <c r="AG6" s="383">
        <v>17877</v>
      </c>
      <c r="AH6" s="235">
        <f t="shared" si="9"/>
        <v>1.3</v>
      </c>
    </row>
    <row r="7" spans="1:34">
      <c r="A7" s="3"/>
      <c r="B7" s="39" t="s">
        <v>328</v>
      </c>
      <c r="C7" s="182">
        <v>27399</v>
      </c>
      <c r="D7" s="182">
        <v>24592</v>
      </c>
      <c r="E7" s="182">
        <v>35396</v>
      </c>
      <c r="F7" s="324">
        <v>45875</v>
      </c>
      <c r="G7" s="613">
        <v>26448</v>
      </c>
      <c r="H7" s="383">
        <v>3446</v>
      </c>
      <c r="I7" s="620">
        <v>2498</v>
      </c>
      <c r="J7" s="226">
        <f>ROUND(((I7/H7-1)*100), 1)</f>
        <v>-27.5</v>
      </c>
      <c r="K7" s="307">
        <f t="shared" si="0"/>
        <v>5045</v>
      </c>
      <c r="L7" s="383">
        <f t="shared" si="1"/>
        <v>2019</v>
      </c>
      <c r="M7" s="235">
        <f>ROUND(((L7/K7-1)*100), 1)</f>
        <v>-60</v>
      </c>
      <c r="N7" s="383">
        <v>8491</v>
      </c>
      <c r="O7" s="383">
        <v>4517</v>
      </c>
      <c r="P7" s="235">
        <f>ROUND(((O7/N7-1)*100), 1)</f>
        <v>-46.8</v>
      </c>
      <c r="Q7" s="307">
        <f t="shared" si="2"/>
        <v>1697</v>
      </c>
      <c r="R7" s="383">
        <f t="shared" si="3"/>
        <v>1199</v>
      </c>
      <c r="S7" s="235">
        <f>ROUND(((R7/Q7-1)*100), 1)</f>
        <v>-29.3</v>
      </c>
      <c r="T7" s="383">
        <v>10188</v>
      </c>
      <c r="U7" s="383">
        <v>5716</v>
      </c>
      <c r="V7" s="235">
        <f>ROUND(((U7/T7-1)*100), 1)</f>
        <v>-43.9</v>
      </c>
      <c r="W7" s="307">
        <f t="shared" si="4"/>
        <v>1200</v>
      </c>
      <c r="X7" s="383">
        <f t="shared" si="5"/>
        <v>2237</v>
      </c>
      <c r="Y7" s="235">
        <f>ROUND(((X7/W7-1)*100), 1)</f>
        <v>86.4</v>
      </c>
      <c r="Z7" s="620">
        <v>11388</v>
      </c>
      <c r="AA7" s="620">
        <v>7953</v>
      </c>
      <c r="AB7" s="235">
        <f t="shared" si="6"/>
        <v>-30.2</v>
      </c>
      <c r="AC7" s="307">
        <f t="shared" si="7"/>
        <v>2087</v>
      </c>
      <c r="AD7" s="383">
        <f t="shared" si="8"/>
        <v>2756</v>
      </c>
      <c r="AE7" s="235">
        <f>ROUND(((AD7/AC7-1)*100), 1)</f>
        <v>32.1</v>
      </c>
      <c r="AF7" s="383">
        <v>13475</v>
      </c>
      <c r="AG7" s="383">
        <v>10709</v>
      </c>
      <c r="AH7" s="235">
        <f t="shared" si="9"/>
        <v>-20.5</v>
      </c>
    </row>
    <row r="8" spans="1:34">
      <c r="A8" s="3"/>
      <c r="B8" s="39" t="s">
        <v>329</v>
      </c>
      <c r="C8" s="182">
        <v>24996</v>
      </c>
      <c r="D8" s="182">
        <v>11866</v>
      </c>
      <c r="E8" s="182">
        <v>14789</v>
      </c>
      <c r="F8" s="324">
        <v>24184</v>
      </c>
      <c r="G8" s="613">
        <v>13683</v>
      </c>
      <c r="H8" s="383">
        <v>2447</v>
      </c>
      <c r="I8" s="620">
        <v>0</v>
      </c>
      <c r="J8" s="226">
        <f>ROUND(((I8/H8-1)*100), 1)</f>
        <v>-100</v>
      </c>
      <c r="K8" s="307">
        <f t="shared" si="0"/>
        <v>3297</v>
      </c>
      <c r="L8" s="383">
        <f t="shared" si="1"/>
        <v>201</v>
      </c>
      <c r="M8" s="235">
        <f>ROUND(((L8/K8-1)*100), 1)</f>
        <v>-93.9</v>
      </c>
      <c r="N8" s="383">
        <v>5744</v>
      </c>
      <c r="O8" s="383">
        <v>201</v>
      </c>
      <c r="P8" s="235">
        <f>ROUND(((O8/N8-1)*100), 1)</f>
        <v>-96.5</v>
      </c>
      <c r="Q8" s="307">
        <f t="shared" si="2"/>
        <v>848</v>
      </c>
      <c r="R8" s="383">
        <f t="shared" si="3"/>
        <v>199</v>
      </c>
      <c r="S8" s="235">
        <f>ROUND(((R8/Q8-1)*100), 1)</f>
        <v>-76.5</v>
      </c>
      <c r="T8" s="383">
        <v>6592</v>
      </c>
      <c r="U8" s="383">
        <v>400</v>
      </c>
      <c r="V8" s="235">
        <f>ROUND(((U8/T8-1)*100), 1)</f>
        <v>-93.9</v>
      </c>
      <c r="W8" s="307">
        <f t="shared" si="4"/>
        <v>350</v>
      </c>
      <c r="X8" s="383">
        <f t="shared" si="5"/>
        <v>1000</v>
      </c>
      <c r="Y8" s="235">
        <f>ROUND(((X8/W8-1)*100), 1)</f>
        <v>185.7</v>
      </c>
      <c r="Z8" s="620">
        <v>6942</v>
      </c>
      <c r="AA8" s="620">
        <v>1400</v>
      </c>
      <c r="AB8" s="235">
        <f t="shared" si="6"/>
        <v>-79.8</v>
      </c>
      <c r="AC8" s="307">
        <f t="shared" si="7"/>
        <v>0</v>
      </c>
      <c r="AD8" s="383">
        <f t="shared" si="8"/>
        <v>5595</v>
      </c>
      <c r="AE8" s="579">
        <v>0</v>
      </c>
      <c r="AF8" s="383">
        <v>6942</v>
      </c>
      <c r="AG8" s="383">
        <v>6995</v>
      </c>
      <c r="AH8" s="235">
        <f t="shared" si="9"/>
        <v>0.8</v>
      </c>
    </row>
    <row r="9" spans="1:34">
      <c r="A9" s="3"/>
      <c r="B9" s="39" t="s">
        <v>330</v>
      </c>
      <c r="C9" s="182">
        <v>13173</v>
      </c>
      <c r="D9" s="182">
        <v>11585</v>
      </c>
      <c r="E9" s="182">
        <v>13984</v>
      </c>
      <c r="F9" s="324">
        <v>7884</v>
      </c>
      <c r="G9" s="613">
        <v>8131</v>
      </c>
      <c r="H9" s="383">
        <v>848</v>
      </c>
      <c r="I9" s="620">
        <v>1799</v>
      </c>
      <c r="J9" s="226">
        <f>ROUND(((I9/H9-1)*100), 1)</f>
        <v>112.1</v>
      </c>
      <c r="K9" s="307">
        <f t="shared" si="0"/>
        <v>299</v>
      </c>
      <c r="L9" s="383">
        <f t="shared" si="1"/>
        <v>700</v>
      </c>
      <c r="M9" s="235">
        <f>ROUND(((L9/K9-1)*100), 1)</f>
        <v>134.1</v>
      </c>
      <c r="N9" s="383">
        <v>1147</v>
      </c>
      <c r="O9" s="383">
        <v>2499</v>
      </c>
      <c r="P9" s="235">
        <f>ROUND(((O9/N9-1)*100), 1)</f>
        <v>117.9</v>
      </c>
      <c r="Q9" s="307">
        <f t="shared" si="2"/>
        <v>701</v>
      </c>
      <c r="R9" s="383">
        <f t="shared" si="3"/>
        <v>1496</v>
      </c>
      <c r="S9" s="235">
        <f>ROUND(((R9/Q9-1)*100), 1)</f>
        <v>113.4</v>
      </c>
      <c r="T9" s="383">
        <v>1848</v>
      </c>
      <c r="U9" s="383">
        <v>3995</v>
      </c>
      <c r="V9" s="235">
        <f>ROUND(((U9/T9-1)*100), 1)</f>
        <v>116.2</v>
      </c>
      <c r="W9" s="307">
        <f t="shared" si="4"/>
        <v>397</v>
      </c>
      <c r="X9" s="383">
        <f t="shared" si="5"/>
        <v>997</v>
      </c>
      <c r="Y9" s="235">
        <f>ROUND(((X9/W9-1)*100), 1)</f>
        <v>151.1</v>
      </c>
      <c r="Z9" s="620">
        <v>2245</v>
      </c>
      <c r="AA9" s="620">
        <v>4992</v>
      </c>
      <c r="AB9" s="235">
        <f t="shared" si="6"/>
        <v>122.4</v>
      </c>
      <c r="AC9" s="307">
        <f t="shared" si="7"/>
        <v>298</v>
      </c>
      <c r="AD9" s="383">
        <f t="shared" si="8"/>
        <v>1200</v>
      </c>
      <c r="AE9" s="571">
        <f t="shared" ref="AE9" si="10">ROUND(((AD9/AC9-1)*100), 1)</f>
        <v>302.7</v>
      </c>
      <c r="AF9" s="383">
        <v>2543</v>
      </c>
      <c r="AG9" s="383">
        <v>6192</v>
      </c>
      <c r="AH9" s="235">
        <f t="shared" si="9"/>
        <v>143.5</v>
      </c>
    </row>
    <row r="10" spans="1:34">
      <c r="A10" s="3"/>
      <c r="B10" s="39" t="s">
        <v>331</v>
      </c>
      <c r="C10" s="182">
        <v>496</v>
      </c>
      <c r="D10" s="182">
        <v>0</v>
      </c>
      <c r="E10" s="182">
        <v>649</v>
      </c>
      <c r="F10" s="324">
        <v>99</v>
      </c>
      <c r="G10" s="613">
        <v>0</v>
      </c>
      <c r="H10" s="383">
        <v>0</v>
      </c>
      <c r="I10" s="620">
        <v>0</v>
      </c>
      <c r="J10" s="171">
        <v>0</v>
      </c>
      <c r="K10" s="307">
        <f t="shared" si="0"/>
        <v>0</v>
      </c>
      <c r="L10" s="383">
        <f t="shared" si="1"/>
        <v>0</v>
      </c>
      <c r="M10" s="171">
        <v>0</v>
      </c>
      <c r="N10" s="383">
        <v>0</v>
      </c>
      <c r="O10" s="383">
        <v>0</v>
      </c>
      <c r="P10" s="171">
        <v>0</v>
      </c>
      <c r="Q10" s="307">
        <f t="shared" si="2"/>
        <v>0</v>
      </c>
      <c r="R10" s="383">
        <f t="shared" si="3"/>
        <v>0</v>
      </c>
      <c r="S10" s="171">
        <v>0</v>
      </c>
      <c r="T10" s="383">
        <v>0</v>
      </c>
      <c r="U10" s="383">
        <v>0</v>
      </c>
      <c r="V10" s="171">
        <v>0</v>
      </c>
      <c r="W10" s="307">
        <f t="shared" si="4"/>
        <v>0</v>
      </c>
      <c r="X10" s="383">
        <f t="shared" si="5"/>
        <v>0</v>
      </c>
      <c r="Y10" s="462">
        <v>0</v>
      </c>
      <c r="Z10" s="620">
        <v>0</v>
      </c>
      <c r="AA10" s="620">
        <v>0</v>
      </c>
      <c r="AB10" s="235" t="e">
        <f t="shared" si="6"/>
        <v>#DIV/0!</v>
      </c>
      <c r="AC10" s="307">
        <f t="shared" si="7"/>
        <v>0</v>
      </c>
      <c r="AD10" s="383">
        <f t="shared" si="8"/>
        <v>0</v>
      </c>
      <c r="AE10" s="579">
        <v>0</v>
      </c>
      <c r="AF10" s="383">
        <v>0</v>
      </c>
      <c r="AG10" s="383">
        <v>0</v>
      </c>
      <c r="AH10" s="579">
        <v>0</v>
      </c>
    </row>
    <row r="11" spans="1:34">
      <c r="A11" s="3"/>
      <c r="B11" s="39" t="s">
        <v>335</v>
      </c>
      <c r="C11" s="182">
        <v>2544</v>
      </c>
      <c r="D11" s="182">
        <v>2768</v>
      </c>
      <c r="E11" s="182">
        <v>2</v>
      </c>
      <c r="F11" s="324">
        <v>2</v>
      </c>
      <c r="G11" s="613">
        <v>0</v>
      </c>
      <c r="H11" s="383">
        <v>0</v>
      </c>
      <c r="I11" s="620">
        <v>0</v>
      </c>
      <c r="J11" s="171">
        <v>0</v>
      </c>
      <c r="K11" s="307">
        <f t="shared" si="0"/>
        <v>0</v>
      </c>
      <c r="L11" s="383">
        <f t="shared" si="1"/>
        <v>0</v>
      </c>
      <c r="M11" s="171">
        <v>0</v>
      </c>
      <c r="N11" s="383">
        <v>0</v>
      </c>
      <c r="O11" s="383">
        <v>0</v>
      </c>
      <c r="P11" s="171">
        <v>0</v>
      </c>
      <c r="Q11" s="307">
        <f t="shared" si="2"/>
        <v>0</v>
      </c>
      <c r="R11" s="383">
        <f t="shared" si="3"/>
        <v>0</v>
      </c>
      <c r="S11" s="171">
        <v>0</v>
      </c>
      <c r="T11" s="383">
        <v>0</v>
      </c>
      <c r="U11" s="383">
        <v>0</v>
      </c>
      <c r="V11" s="171">
        <v>0</v>
      </c>
      <c r="W11" s="307">
        <f t="shared" si="4"/>
        <v>0</v>
      </c>
      <c r="X11" s="383">
        <f t="shared" si="5"/>
        <v>300</v>
      </c>
      <c r="Y11" s="462">
        <v>0</v>
      </c>
      <c r="Z11" s="620">
        <v>0</v>
      </c>
      <c r="AA11" s="620">
        <v>300</v>
      </c>
      <c r="AB11" s="462">
        <v>0</v>
      </c>
      <c r="AC11" s="307">
        <f t="shared" si="7"/>
        <v>0</v>
      </c>
      <c r="AD11" s="383">
        <f t="shared" si="8"/>
        <v>499</v>
      </c>
      <c r="AE11" s="579">
        <v>0</v>
      </c>
      <c r="AF11" s="383">
        <v>0</v>
      </c>
      <c r="AG11" s="383">
        <v>799</v>
      </c>
      <c r="AH11" s="579">
        <v>0</v>
      </c>
    </row>
    <row r="12" spans="1:34">
      <c r="A12" s="3"/>
      <c r="B12" s="39" t="s">
        <v>332</v>
      </c>
      <c r="C12" s="182">
        <v>4275</v>
      </c>
      <c r="D12" s="182">
        <v>5176</v>
      </c>
      <c r="E12" s="182">
        <v>400</v>
      </c>
      <c r="F12" s="324">
        <v>0</v>
      </c>
      <c r="G12" s="613">
        <v>0</v>
      </c>
      <c r="H12" s="383">
        <v>0</v>
      </c>
      <c r="I12" s="620">
        <v>0</v>
      </c>
      <c r="J12" s="171">
        <v>0</v>
      </c>
      <c r="K12" s="307">
        <f t="shared" si="0"/>
        <v>0</v>
      </c>
      <c r="L12" s="383">
        <f t="shared" si="1"/>
        <v>0</v>
      </c>
      <c r="M12" s="171">
        <v>0</v>
      </c>
      <c r="N12" s="383">
        <v>0</v>
      </c>
      <c r="O12" s="383">
        <v>0</v>
      </c>
      <c r="P12" s="171">
        <v>0</v>
      </c>
      <c r="Q12" s="307">
        <f t="shared" si="2"/>
        <v>0</v>
      </c>
      <c r="R12" s="383">
        <f t="shared" si="3"/>
        <v>0</v>
      </c>
      <c r="S12" s="171">
        <v>0</v>
      </c>
      <c r="T12" s="383">
        <v>0</v>
      </c>
      <c r="U12" s="383">
        <v>0</v>
      </c>
      <c r="V12" s="171">
        <v>0</v>
      </c>
      <c r="W12" s="307">
        <f t="shared" si="4"/>
        <v>0</v>
      </c>
      <c r="X12" s="383">
        <f t="shared" si="5"/>
        <v>0</v>
      </c>
      <c r="Y12" s="462">
        <v>0</v>
      </c>
      <c r="Z12" s="620">
        <v>0</v>
      </c>
      <c r="AA12" s="620">
        <v>0</v>
      </c>
      <c r="AB12" s="462">
        <v>0</v>
      </c>
      <c r="AC12" s="307">
        <f t="shared" si="7"/>
        <v>0</v>
      </c>
      <c r="AD12" s="383">
        <f t="shared" si="8"/>
        <v>0</v>
      </c>
      <c r="AE12" s="462">
        <v>0</v>
      </c>
      <c r="AF12" s="383">
        <v>0</v>
      </c>
      <c r="AG12" s="383">
        <v>0</v>
      </c>
      <c r="AH12" s="462">
        <v>0</v>
      </c>
    </row>
    <row r="13" spans="1:34">
      <c r="A13" s="3"/>
      <c r="B13" s="39" t="s">
        <v>333</v>
      </c>
      <c r="C13" s="182">
        <v>0</v>
      </c>
      <c r="D13" s="182">
        <v>791</v>
      </c>
      <c r="E13" s="182">
        <v>200</v>
      </c>
      <c r="F13" s="324">
        <v>0</v>
      </c>
      <c r="G13" s="613">
        <v>0</v>
      </c>
      <c r="H13" s="383">
        <v>0</v>
      </c>
      <c r="I13" s="620">
        <v>0</v>
      </c>
      <c r="J13" s="171">
        <v>0</v>
      </c>
      <c r="K13" s="307">
        <f t="shared" si="0"/>
        <v>0</v>
      </c>
      <c r="L13" s="383">
        <f t="shared" si="1"/>
        <v>0</v>
      </c>
      <c r="M13" s="171">
        <v>0</v>
      </c>
      <c r="N13" s="383">
        <v>0</v>
      </c>
      <c r="O13" s="383">
        <v>0</v>
      </c>
      <c r="P13" s="171">
        <v>0</v>
      </c>
      <c r="Q13" s="307">
        <f t="shared" si="2"/>
        <v>0</v>
      </c>
      <c r="R13" s="383">
        <f t="shared" si="3"/>
        <v>0</v>
      </c>
      <c r="S13" s="171">
        <v>0</v>
      </c>
      <c r="T13" s="383">
        <v>0</v>
      </c>
      <c r="U13" s="383">
        <v>0</v>
      </c>
      <c r="V13" s="171">
        <v>0</v>
      </c>
      <c r="W13" s="307">
        <f t="shared" si="4"/>
        <v>0</v>
      </c>
      <c r="X13" s="383">
        <f t="shared" si="5"/>
        <v>0</v>
      </c>
      <c r="Y13" s="462">
        <v>0</v>
      </c>
      <c r="Z13" s="620">
        <v>0</v>
      </c>
      <c r="AA13" s="620">
        <v>0</v>
      </c>
      <c r="AB13" s="462">
        <v>0</v>
      </c>
      <c r="AC13" s="307">
        <f t="shared" si="7"/>
        <v>0</v>
      </c>
      <c r="AD13" s="383">
        <f t="shared" si="8"/>
        <v>0</v>
      </c>
      <c r="AE13" s="462">
        <v>0</v>
      </c>
      <c r="AF13" s="383">
        <v>0</v>
      </c>
      <c r="AG13" s="383">
        <v>0</v>
      </c>
      <c r="AH13" s="462">
        <v>0</v>
      </c>
    </row>
    <row r="14" spans="1:34">
      <c r="A14" s="3"/>
      <c r="B14" s="39" t="s">
        <v>334</v>
      </c>
      <c r="C14" s="182">
        <v>159</v>
      </c>
      <c r="D14" s="182">
        <v>408</v>
      </c>
      <c r="E14" s="182">
        <v>22</v>
      </c>
      <c r="F14" s="324">
        <v>0</v>
      </c>
      <c r="G14" s="613">
        <v>0</v>
      </c>
      <c r="H14" s="383">
        <v>0</v>
      </c>
      <c r="I14" s="620">
        <v>0</v>
      </c>
      <c r="J14" s="171">
        <v>0</v>
      </c>
      <c r="K14" s="307">
        <f t="shared" si="0"/>
        <v>0</v>
      </c>
      <c r="L14" s="383">
        <f t="shared" si="1"/>
        <v>0</v>
      </c>
      <c r="M14" s="171">
        <v>0</v>
      </c>
      <c r="N14" s="383">
        <v>0</v>
      </c>
      <c r="O14" s="383">
        <v>0</v>
      </c>
      <c r="P14" s="171">
        <v>0</v>
      </c>
      <c r="Q14" s="307">
        <f t="shared" si="2"/>
        <v>0</v>
      </c>
      <c r="R14" s="383">
        <f t="shared" si="3"/>
        <v>0</v>
      </c>
      <c r="S14" s="171">
        <v>0</v>
      </c>
      <c r="T14" s="383">
        <v>0</v>
      </c>
      <c r="U14" s="383">
        <v>0</v>
      </c>
      <c r="V14" s="171">
        <v>0</v>
      </c>
      <c r="W14" s="307">
        <f t="shared" si="4"/>
        <v>0</v>
      </c>
      <c r="X14" s="383">
        <f t="shared" si="5"/>
        <v>0</v>
      </c>
      <c r="Y14" s="462">
        <v>0</v>
      </c>
      <c r="Z14" s="620">
        <v>0</v>
      </c>
      <c r="AA14" s="620">
        <v>0</v>
      </c>
      <c r="AB14" s="462">
        <v>0</v>
      </c>
      <c r="AC14" s="307">
        <f t="shared" si="7"/>
        <v>0</v>
      </c>
      <c r="AD14" s="383">
        <f t="shared" si="8"/>
        <v>0</v>
      </c>
      <c r="AE14" s="462">
        <v>0</v>
      </c>
      <c r="AF14" s="383">
        <v>0</v>
      </c>
      <c r="AG14" s="383">
        <v>0</v>
      </c>
      <c r="AH14" s="462">
        <v>0</v>
      </c>
    </row>
    <row r="15" spans="1:34">
      <c r="A15" s="3"/>
      <c r="B15" s="39" t="s">
        <v>56</v>
      </c>
      <c r="C15" s="182">
        <v>1702</v>
      </c>
      <c r="D15" s="182">
        <v>0</v>
      </c>
      <c r="E15" s="182">
        <v>0</v>
      </c>
      <c r="F15" s="324">
        <v>0</v>
      </c>
      <c r="G15" s="613">
        <v>0</v>
      </c>
      <c r="H15" s="383">
        <v>0</v>
      </c>
      <c r="I15" s="620">
        <v>0</v>
      </c>
      <c r="J15" s="171">
        <v>0</v>
      </c>
      <c r="K15" s="307">
        <f t="shared" si="0"/>
        <v>0</v>
      </c>
      <c r="L15" s="383">
        <f t="shared" si="1"/>
        <v>0</v>
      </c>
      <c r="M15" s="171">
        <v>0</v>
      </c>
      <c r="N15" s="383">
        <v>0</v>
      </c>
      <c r="O15" s="383">
        <v>0</v>
      </c>
      <c r="P15" s="171">
        <v>0</v>
      </c>
      <c r="Q15" s="307">
        <f t="shared" si="2"/>
        <v>0</v>
      </c>
      <c r="R15" s="383">
        <f t="shared" si="3"/>
        <v>0</v>
      </c>
      <c r="S15" s="171">
        <v>0</v>
      </c>
      <c r="T15" s="383">
        <v>0</v>
      </c>
      <c r="U15" s="383">
        <v>0</v>
      </c>
      <c r="V15" s="171">
        <v>0</v>
      </c>
      <c r="W15" s="307">
        <f t="shared" si="4"/>
        <v>0</v>
      </c>
      <c r="X15" s="383">
        <f t="shared" si="5"/>
        <v>0</v>
      </c>
      <c r="Y15" s="462">
        <v>0</v>
      </c>
      <c r="Z15" s="620">
        <v>0</v>
      </c>
      <c r="AA15" s="620">
        <v>0</v>
      </c>
      <c r="AB15" s="462">
        <v>0</v>
      </c>
      <c r="AC15" s="307">
        <f t="shared" si="7"/>
        <v>0</v>
      </c>
      <c r="AD15" s="383">
        <f t="shared" si="8"/>
        <v>0</v>
      </c>
      <c r="AE15" s="462">
        <v>0</v>
      </c>
      <c r="AF15" s="383">
        <v>0</v>
      </c>
      <c r="AG15" s="383">
        <v>0</v>
      </c>
      <c r="AH15" s="462">
        <v>0</v>
      </c>
    </row>
    <row r="16" spans="1:34">
      <c r="A16" s="3"/>
      <c r="B16" s="39" t="s">
        <v>336</v>
      </c>
      <c r="C16" s="182">
        <v>769</v>
      </c>
      <c r="D16" s="182">
        <v>0</v>
      </c>
      <c r="E16" s="182">
        <v>0</v>
      </c>
      <c r="F16" s="324">
        <v>0</v>
      </c>
      <c r="G16" s="613">
        <v>0</v>
      </c>
      <c r="H16" s="383">
        <v>0</v>
      </c>
      <c r="I16" s="620">
        <v>0</v>
      </c>
      <c r="J16" s="171">
        <v>0</v>
      </c>
      <c r="K16" s="440">
        <f t="shared" si="0"/>
        <v>0</v>
      </c>
      <c r="L16" s="383">
        <f t="shared" si="1"/>
        <v>0</v>
      </c>
      <c r="M16" s="171">
        <v>0</v>
      </c>
      <c r="N16" s="383">
        <v>0</v>
      </c>
      <c r="O16" s="383">
        <v>0</v>
      </c>
      <c r="P16" s="171">
        <v>0</v>
      </c>
      <c r="Q16" s="440">
        <f t="shared" si="2"/>
        <v>0</v>
      </c>
      <c r="R16" s="383">
        <f t="shared" si="3"/>
        <v>0</v>
      </c>
      <c r="S16" s="171">
        <v>0</v>
      </c>
      <c r="T16" s="383">
        <v>0</v>
      </c>
      <c r="U16" s="383">
        <v>0</v>
      </c>
      <c r="V16" s="171">
        <v>0</v>
      </c>
      <c r="W16" s="440">
        <f t="shared" si="4"/>
        <v>0</v>
      </c>
      <c r="X16" s="383">
        <f t="shared" si="5"/>
        <v>0</v>
      </c>
      <c r="Y16" s="462">
        <v>0</v>
      </c>
      <c r="Z16" s="620">
        <v>0</v>
      </c>
      <c r="AA16" s="620">
        <v>0</v>
      </c>
      <c r="AB16" s="462">
        <v>0</v>
      </c>
      <c r="AC16" s="440">
        <f t="shared" si="7"/>
        <v>0</v>
      </c>
      <c r="AD16" s="383">
        <f t="shared" si="8"/>
        <v>0</v>
      </c>
      <c r="AE16" s="462">
        <v>0</v>
      </c>
      <c r="AF16" s="383">
        <v>0</v>
      </c>
      <c r="AG16" s="383">
        <v>0</v>
      </c>
      <c r="AH16" s="462">
        <v>0</v>
      </c>
    </row>
    <row r="17" spans="1:34">
      <c r="A17" s="3"/>
      <c r="B17" s="39" t="s">
        <v>337</v>
      </c>
      <c r="C17" s="182">
        <f t="shared" ref="C17:E17" si="11">C18-SUM(C5:C16)</f>
        <v>0</v>
      </c>
      <c r="D17" s="182">
        <f t="shared" si="11"/>
        <v>8</v>
      </c>
      <c r="E17" s="182">
        <f t="shared" si="11"/>
        <v>500</v>
      </c>
      <c r="F17" s="40">
        <f>F18-SUM(F5:F16)</f>
        <v>0</v>
      </c>
      <c r="G17" s="613">
        <f>G18-SUM(G5:G16)</f>
        <v>0</v>
      </c>
      <c r="H17" s="383">
        <f t="shared" ref="H17" si="12">H18-SUM(H5:H16)</f>
        <v>0</v>
      </c>
      <c r="I17" s="620">
        <f t="shared" ref="I17" si="13">I18-SUM(I5:I16)</f>
        <v>0</v>
      </c>
      <c r="J17" s="172">
        <v>0</v>
      </c>
      <c r="K17" s="441">
        <f>K18-SUM(K5:K16)</f>
        <v>0</v>
      </c>
      <c r="L17" s="442">
        <f>L18-SUM(L5:L16)</f>
        <v>0</v>
      </c>
      <c r="M17" s="172">
        <v>0</v>
      </c>
      <c r="N17" s="383">
        <f>N18-SUM(N5:N16)</f>
        <v>0</v>
      </c>
      <c r="O17" s="383">
        <f t="shared" ref="O17" si="14">O18-SUM(O5:O16)</f>
        <v>0</v>
      </c>
      <c r="P17" s="172">
        <v>0</v>
      </c>
      <c r="Q17" s="441">
        <f>Q18-SUM(Q5:Q16)</f>
        <v>0</v>
      </c>
      <c r="R17" s="442">
        <f>R18-SUM(R5:R16)</f>
        <v>0</v>
      </c>
      <c r="S17" s="172">
        <v>0</v>
      </c>
      <c r="T17" s="383">
        <f>T18-SUM(T5:T16)</f>
        <v>0</v>
      </c>
      <c r="U17" s="383">
        <f t="shared" ref="U17" si="15">U18-SUM(U5:U16)</f>
        <v>0</v>
      </c>
      <c r="V17" s="172">
        <v>0</v>
      </c>
      <c r="W17" s="441">
        <f>W18-SUM(W5:W16)</f>
        <v>0</v>
      </c>
      <c r="X17" s="442">
        <f>X18-SUM(X5:X16)</f>
        <v>0</v>
      </c>
      <c r="Y17" s="463">
        <v>0</v>
      </c>
      <c r="Z17" s="620">
        <f>Z18-SUM(Z5:Z16)</f>
        <v>0</v>
      </c>
      <c r="AA17" s="620">
        <f t="shared" ref="AA17" si="16">AA18-SUM(AA5:AA16)</f>
        <v>0</v>
      </c>
      <c r="AB17" s="463">
        <v>0</v>
      </c>
      <c r="AC17" s="441">
        <f>AC18-SUM(AC5:AC16)</f>
        <v>0</v>
      </c>
      <c r="AD17" s="442">
        <f>AD18-SUM(AD5:AD16)</f>
        <v>0</v>
      </c>
      <c r="AE17" s="463">
        <v>0</v>
      </c>
      <c r="AF17" s="383">
        <f>AF18-SUM(AF5:AF16)</f>
        <v>0</v>
      </c>
      <c r="AG17" s="383">
        <f t="shared" ref="AG17" si="17">AG18-SUM(AG5:AG16)</f>
        <v>0</v>
      </c>
      <c r="AH17" s="463">
        <v>0</v>
      </c>
    </row>
    <row r="18" spans="1:34">
      <c r="A18" s="8"/>
      <c r="B18" s="63" t="s">
        <v>101</v>
      </c>
      <c r="C18" s="308">
        <v>251454</v>
      </c>
      <c r="D18" s="308">
        <v>221889</v>
      </c>
      <c r="E18" s="308">
        <v>227517</v>
      </c>
      <c r="F18" s="42">
        <v>247593</v>
      </c>
      <c r="G18" s="50">
        <v>250068</v>
      </c>
      <c r="H18" s="373">
        <v>17841</v>
      </c>
      <c r="I18" s="621">
        <v>18581</v>
      </c>
      <c r="J18" s="227">
        <f>ROUND(((I18/H18-1)*100), 1)</f>
        <v>4.0999999999999996</v>
      </c>
      <c r="K18" s="443">
        <f t="shared" ref="K18" si="18">N18-H18</f>
        <v>18523</v>
      </c>
      <c r="L18" s="372">
        <f t="shared" ref="L18" si="19">O18-I18</f>
        <v>21783</v>
      </c>
      <c r="M18" s="236">
        <f>ROUND(((L18/K18-1)*100), 1)</f>
        <v>17.600000000000001</v>
      </c>
      <c r="N18" s="373">
        <v>36364</v>
      </c>
      <c r="O18" s="373">
        <v>40364</v>
      </c>
      <c r="P18" s="236">
        <f>ROUND(((O18/N18-1)*100), 1)</f>
        <v>11</v>
      </c>
      <c r="Q18" s="443">
        <f t="shared" ref="Q18" si="20">T18-N18</f>
        <v>12867</v>
      </c>
      <c r="R18" s="372">
        <f t="shared" ref="R18" si="21">U18-O18</f>
        <v>18268</v>
      </c>
      <c r="S18" s="236">
        <f t="shared" ref="S18" si="22">ROUND(((R18/Q18-1)*100), 1)</f>
        <v>42</v>
      </c>
      <c r="T18" s="373">
        <v>49231</v>
      </c>
      <c r="U18" s="373">
        <v>58632</v>
      </c>
      <c r="V18" s="236">
        <f t="shared" ref="V18" si="23">ROUND(((U18/T18-1)*100), 1)</f>
        <v>19.100000000000001</v>
      </c>
      <c r="W18" s="443">
        <f t="shared" ref="W18" si="24">Z18-T18</f>
        <v>19926</v>
      </c>
      <c r="X18" s="372">
        <f t="shared" ref="X18" si="25">AA18-U18</f>
        <v>23913</v>
      </c>
      <c r="Y18" s="236">
        <f t="shared" ref="Y18" si="26">ROUND(((X18/W18-1)*100), 1)</f>
        <v>20</v>
      </c>
      <c r="Z18" s="621">
        <v>69157</v>
      </c>
      <c r="AA18" s="621">
        <v>82545</v>
      </c>
      <c r="AB18" s="236">
        <f t="shared" ref="AB18" si="27">ROUND(((AA18/Z18-1)*100), 1)</f>
        <v>19.399999999999999</v>
      </c>
      <c r="AC18" s="443">
        <f t="shared" ref="AC18:AD18" si="28">AF18-Z18</f>
        <v>19134</v>
      </c>
      <c r="AD18" s="372">
        <f t="shared" si="28"/>
        <v>27948</v>
      </c>
      <c r="AE18" s="236">
        <f t="shared" ref="AE18" si="29">ROUND(((AD18/AC18-1)*100), 1)</f>
        <v>46.1</v>
      </c>
      <c r="AF18" s="373">
        <v>88291</v>
      </c>
      <c r="AG18" s="373">
        <v>110493</v>
      </c>
      <c r="AH18" s="236">
        <f t="shared" ref="AH18" si="30">ROUND(((AG18/AF18-1)*100), 1)</f>
        <v>25.1</v>
      </c>
    </row>
    <row r="19" spans="1:34">
      <c r="A19" s="3"/>
      <c r="B19" s="39" t="s">
        <v>338</v>
      </c>
      <c r="C19" s="182">
        <v>205886</v>
      </c>
      <c r="D19" s="182">
        <v>164041</v>
      </c>
      <c r="E19" s="182">
        <v>133253</v>
      </c>
      <c r="F19" s="40">
        <v>127560</v>
      </c>
      <c r="G19" s="613">
        <v>117618</v>
      </c>
      <c r="H19" s="383">
        <v>9438</v>
      </c>
      <c r="I19" s="620">
        <v>13130</v>
      </c>
      <c r="J19" s="235">
        <f>ROUND(((I19/H19-1)*100), 1)</f>
        <v>39.1</v>
      </c>
      <c r="K19" s="307">
        <f t="shared" ref="K19:K34" si="31">N19-H19</f>
        <v>10079</v>
      </c>
      <c r="L19" s="307">
        <f t="shared" ref="L19:L34" si="32">O19-I19</f>
        <v>13824</v>
      </c>
      <c r="M19" s="235">
        <f>ROUND(((L19/K19-1)*100), 1)</f>
        <v>37.200000000000003</v>
      </c>
      <c r="N19" s="383">
        <v>19517</v>
      </c>
      <c r="O19" s="383">
        <v>26954</v>
      </c>
      <c r="P19" s="235">
        <f>ROUND(((O19/N19-1)*100), 1)</f>
        <v>38.1</v>
      </c>
      <c r="Q19" s="307">
        <f t="shared" ref="Q19:Q34" si="33">T19-N19</f>
        <v>11115</v>
      </c>
      <c r="R19" s="307">
        <f t="shared" ref="R19:R34" si="34">U19-O19</f>
        <v>16208</v>
      </c>
      <c r="S19" s="235">
        <f>ROUND(((R19/Q19-1)*100), 1)</f>
        <v>45.8</v>
      </c>
      <c r="T19" s="383">
        <v>30632</v>
      </c>
      <c r="U19" s="383">
        <v>43162</v>
      </c>
      <c r="V19" s="235">
        <f>ROUND(((U19/T19-1)*100), 1)</f>
        <v>40.9</v>
      </c>
      <c r="W19" s="307">
        <f t="shared" ref="W19:W34" si="35">Z19-T19</f>
        <v>12507</v>
      </c>
      <c r="X19" s="307">
        <f t="shared" ref="X19:X34" si="36">AA19-U19</f>
        <v>12253</v>
      </c>
      <c r="Y19" s="235">
        <f>ROUND(((X19/W19-1)*100), 1)</f>
        <v>-2</v>
      </c>
      <c r="Z19" s="620">
        <v>43139</v>
      </c>
      <c r="AA19" s="620">
        <v>55415</v>
      </c>
      <c r="AB19" s="235">
        <f t="shared" ref="AB19:AB28" si="37">ROUND(((AA19/Z19-1)*100), 1)</f>
        <v>28.5</v>
      </c>
      <c r="AC19" s="307">
        <f t="shared" ref="AC19:AC34" si="38">AF19-Z19</f>
        <v>10017</v>
      </c>
      <c r="AD19" s="307">
        <f t="shared" ref="AD19:AD34" si="39">AG19-AA19</f>
        <v>15201</v>
      </c>
      <c r="AE19" s="235">
        <f>ROUND(((AD19/AC19-1)*100), 1)</f>
        <v>51.8</v>
      </c>
      <c r="AF19" s="383">
        <v>53156</v>
      </c>
      <c r="AG19" s="383">
        <v>70616</v>
      </c>
      <c r="AH19" s="235">
        <f>ROUND(((AG19/AF19-1)*100), 1)</f>
        <v>32.799999999999997</v>
      </c>
    </row>
    <row r="20" spans="1:34">
      <c r="A20" s="3" t="s">
        <v>103</v>
      </c>
      <c r="B20" s="39" t="s">
        <v>339</v>
      </c>
      <c r="C20" s="182">
        <v>92497</v>
      </c>
      <c r="D20" s="182">
        <v>96912</v>
      </c>
      <c r="E20" s="182">
        <v>90055</v>
      </c>
      <c r="F20" s="40">
        <v>64776</v>
      </c>
      <c r="G20" s="613">
        <v>69193</v>
      </c>
      <c r="H20" s="383">
        <v>3822</v>
      </c>
      <c r="I20" s="620">
        <v>5735</v>
      </c>
      <c r="J20" s="235">
        <f>ROUND(((I20/H20-1)*100), 1)</f>
        <v>50.1</v>
      </c>
      <c r="K20" s="307">
        <f t="shared" si="31"/>
        <v>4756</v>
      </c>
      <c r="L20" s="307">
        <f t="shared" si="32"/>
        <v>7505</v>
      </c>
      <c r="M20" s="235">
        <f>ROUND(((L20/K20-1)*100), 1)</f>
        <v>57.8</v>
      </c>
      <c r="N20" s="383">
        <v>8578</v>
      </c>
      <c r="O20" s="383">
        <v>13240</v>
      </c>
      <c r="P20" s="235">
        <f>ROUND(((O20/N20-1)*100), 1)</f>
        <v>54.3</v>
      </c>
      <c r="Q20" s="307">
        <f t="shared" si="33"/>
        <v>5555</v>
      </c>
      <c r="R20" s="307">
        <f t="shared" si="34"/>
        <v>9571</v>
      </c>
      <c r="S20" s="235">
        <f>ROUND(((R20/Q20-1)*100), 1)</f>
        <v>72.3</v>
      </c>
      <c r="T20" s="383">
        <v>14133</v>
      </c>
      <c r="U20" s="383">
        <v>22811</v>
      </c>
      <c r="V20" s="235">
        <f>ROUND(((U20/T20-1)*100), 1)</f>
        <v>61.4</v>
      </c>
      <c r="W20" s="307">
        <f t="shared" si="35"/>
        <v>8050</v>
      </c>
      <c r="X20" s="307">
        <f t="shared" si="36"/>
        <v>10070</v>
      </c>
      <c r="Y20" s="235">
        <f>ROUND(((X20/W20-1)*100), 1)</f>
        <v>25.1</v>
      </c>
      <c r="Z20" s="620">
        <v>22183</v>
      </c>
      <c r="AA20" s="620">
        <v>32881</v>
      </c>
      <c r="AB20" s="235">
        <f t="shared" si="37"/>
        <v>48.2</v>
      </c>
      <c r="AC20" s="307">
        <f t="shared" si="38"/>
        <v>5693</v>
      </c>
      <c r="AD20" s="307">
        <f t="shared" si="39"/>
        <v>7468</v>
      </c>
      <c r="AE20" s="235">
        <f>ROUND(((AD20/AC20-1)*100), 1)</f>
        <v>31.2</v>
      </c>
      <c r="AF20" s="383">
        <v>27876</v>
      </c>
      <c r="AG20" s="383">
        <v>40349</v>
      </c>
      <c r="AH20" s="235">
        <f>ROUND(((AG20/AF20-1)*100), 1)</f>
        <v>44.7</v>
      </c>
    </row>
    <row r="21" spans="1:34">
      <c r="A21" s="3"/>
      <c r="B21" s="39" t="s">
        <v>341</v>
      </c>
      <c r="C21" s="182">
        <v>32062</v>
      </c>
      <c r="D21" s="182">
        <v>17126</v>
      </c>
      <c r="E21" s="182">
        <v>10205</v>
      </c>
      <c r="F21" s="40">
        <v>12888</v>
      </c>
      <c r="G21" s="613">
        <v>13275</v>
      </c>
      <c r="H21" s="383">
        <v>1719</v>
      </c>
      <c r="I21" s="620">
        <v>4014</v>
      </c>
      <c r="J21" s="235">
        <f>ROUND(((I21/H21-1)*100), 1)</f>
        <v>133.5</v>
      </c>
      <c r="K21" s="307">
        <f t="shared" si="31"/>
        <v>297</v>
      </c>
      <c r="L21" s="307">
        <f t="shared" si="32"/>
        <v>397</v>
      </c>
      <c r="M21" s="235">
        <f>ROUND(((L21/K21-1)*100), 1)</f>
        <v>33.700000000000003</v>
      </c>
      <c r="N21" s="383">
        <v>2016</v>
      </c>
      <c r="O21" s="383">
        <v>4411</v>
      </c>
      <c r="P21" s="235">
        <f>ROUND(((O21/N21-1)*100), 1)</f>
        <v>118.8</v>
      </c>
      <c r="Q21" s="307">
        <f t="shared" si="33"/>
        <v>100</v>
      </c>
      <c r="R21" s="307">
        <f t="shared" si="34"/>
        <v>1644</v>
      </c>
      <c r="S21" s="235">
        <f>ROUND(((R21/Q21-1)*100), 1)</f>
        <v>1544</v>
      </c>
      <c r="T21" s="383">
        <v>2116</v>
      </c>
      <c r="U21" s="383">
        <v>6055</v>
      </c>
      <c r="V21" s="235">
        <f>ROUND(((U21/T21-1)*100), 1)</f>
        <v>186.2</v>
      </c>
      <c r="W21" s="307">
        <f t="shared" si="35"/>
        <v>0</v>
      </c>
      <c r="X21" s="307">
        <f t="shared" si="36"/>
        <v>249</v>
      </c>
      <c r="Y21" s="235" t="e">
        <f>ROUND(((X21/W21-1)*100), 1)</f>
        <v>#DIV/0!</v>
      </c>
      <c r="Z21" s="620">
        <v>2116</v>
      </c>
      <c r="AA21" s="620">
        <v>6304</v>
      </c>
      <c r="AB21" s="235">
        <f t="shared" si="37"/>
        <v>197.9</v>
      </c>
      <c r="AC21" s="307">
        <f t="shared" si="38"/>
        <v>877</v>
      </c>
      <c r="AD21" s="307">
        <f t="shared" si="39"/>
        <v>347</v>
      </c>
      <c r="AE21" s="235">
        <f>ROUND(((AD21/AC21-1)*100), 1)</f>
        <v>-60.4</v>
      </c>
      <c r="AF21" s="383">
        <v>2993</v>
      </c>
      <c r="AG21" s="383">
        <v>6651</v>
      </c>
      <c r="AH21" s="235">
        <f>ROUND(((AG21/AF21-1)*100), 1)</f>
        <v>122.2</v>
      </c>
    </row>
    <row r="22" spans="1:34">
      <c r="A22" s="3"/>
      <c r="B22" s="39" t="s">
        <v>340</v>
      </c>
      <c r="C22" s="182">
        <v>14169</v>
      </c>
      <c r="D22" s="182">
        <v>3544</v>
      </c>
      <c r="E22" s="182">
        <v>10882</v>
      </c>
      <c r="F22" s="40">
        <v>14787</v>
      </c>
      <c r="G22" s="613">
        <v>9243</v>
      </c>
      <c r="H22" s="383">
        <v>803</v>
      </c>
      <c r="I22" s="620">
        <v>679</v>
      </c>
      <c r="J22" s="571">
        <f>ROUND(((I22/H22-1)*100), 1)</f>
        <v>-15.4</v>
      </c>
      <c r="K22" s="307">
        <f t="shared" si="31"/>
        <v>777</v>
      </c>
      <c r="L22" s="307">
        <f t="shared" si="32"/>
        <v>85</v>
      </c>
      <c r="M22" s="235">
        <f>ROUND(((L22/K22-1)*100), 1)</f>
        <v>-89.1</v>
      </c>
      <c r="N22" s="383">
        <v>1580</v>
      </c>
      <c r="O22" s="383">
        <v>764</v>
      </c>
      <c r="P22" s="235">
        <f>ROUND(((O22/N22-1)*100), 1)</f>
        <v>-51.6</v>
      </c>
      <c r="Q22" s="307">
        <f t="shared" si="33"/>
        <v>1842</v>
      </c>
      <c r="R22" s="307">
        <f t="shared" si="34"/>
        <v>1203</v>
      </c>
      <c r="S22" s="235">
        <f>ROUND(((R22/Q22-1)*100), 1)</f>
        <v>-34.700000000000003</v>
      </c>
      <c r="T22" s="383">
        <v>3422</v>
      </c>
      <c r="U22" s="383">
        <v>1967</v>
      </c>
      <c r="V22" s="235">
        <f>ROUND(((U22/T22-1)*100), 1)</f>
        <v>-42.5</v>
      </c>
      <c r="W22" s="307">
        <f t="shared" si="35"/>
        <v>470</v>
      </c>
      <c r="X22" s="307">
        <f t="shared" si="36"/>
        <v>857</v>
      </c>
      <c r="Y22" s="235">
        <f>ROUND(((X22/W22-1)*100), 1)</f>
        <v>82.3</v>
      </c>
      <c r="Z22" s="620">
        <v>3892</v>
      </c>
      <c r="AA22" s="620">
        <v>2824</v>
      </c>
      <c r="AB22" s="235">
        <f t="shared" si="37"/>
        <v>-27.4</v>
      </c>
      <c r="AC22" s="307">
        <f t="shared" si="38"/>
        <v>621</v>
      </c>
      <c r="AD22" s="307">
        <f t="shared" si="39"/>
        <v>1673</v>
      </c>
      <c r="AE22" s="571">
        <f t="shared" ref="AE22:AE27" si="40">ROUND(((AD22/AC22-1)*100), 1)</f>
        <v>169.4</v>
      </c>
      <c r="AF22" s="383">
        <v>4513</v>
      </c>
      <c r="AG22" s="383">
        <v>4497</v>
      </c>
      <c r="AH22" s="235">
        <f>ROUND(((AG22/AF22-1)*100), 1)</f>
        <v>-0.4</v>
      </c>
    </row>
    <row r="23" spans="1:34">
      <c r="A23" s="3"/>
      <c r="B23" s="39" t="s">
        <v>343</v>
      </c>
      <c r="C23" s="182">
        <v>0</v>
      </c>
      <c r="D23" s="182">
        <v>2691</v>
      </c>
      <c r="E23" s="182">
        <v>1348</v>
      </c>
      <c r="F23" s="40">
        <v>3387</v>
      </c>
      <c r="G23" s="613">
        <v>5142</v>
      </c>
      <c r="H23" s="383">
        <v>307</v>
      </c>
      <c r="I23" s="620">
        <v>200</v>
      </c>
      <c r="J23" s="571">
        <f t="shared" ref="J23:J35" si="41">ROUND(((I23/H23-1)*100), 1)</f>
        <v>-34.9</v>
      </c>
      <c r="K23" s="307">
        <f t="shared" si="31"/>
        <v>103</v>
      </c>
      <c r="L23" s="307">
        <f t="shared" si="32"/>
        <v>0</v>
      </c>
      <c r="M23" s="571">
        <f t="shared" ref="M23:M27" si="42">ROUND(((L23/K23-1)*100), 1)</f>
        <v>-100</v>
      </c>
      <c r="N23" s="383">
        <v>410</v>
      </c>
      <c r="O23" s="383">
        <v>200</v>
      </c>
      <c r="P23" s="571">
        <f t="shared" ref="P23:P27" si="43">ROUND(((O23/N23-1)*100), 1)</f>
        <v>-51.2</v>
      </c>
      <c r="Q23" s="483">
        <f t="shared" ref="Q23:Q33" si="44">T23-N23</f>
        <v>0</v>
      </c>
      <c r="R23" s="483">
        <f t="shared" ref="R23:R33" si="45">U23-O23</f>
        <v>475</v>
      </c>
      <c r="S23" s="579">
        <v>0</v>
      </c>
      <c r="T23" s="383">
        <v>410</v>
      </c>
      <c r="U23" s="383">
        <v>675</v>
      </c>
      <c r="V23" s="571">
        <f t="shared" ref="V23:V28" si="46">ROUND(((U23/T23-1)*100), 1)</f>
        <v>64.599999999999994</v>
      </c>
      <c r="W23" s="307">
        <f t="shared" si="35"/>
        <v>0</v>
      </c>
      <c r="X23" s="307">
        <f t="shared" si="36"/>
        <v>161</v>
      </c>
      <c r="Y23" s="579">
        <v>0</v>
      </c>
      <c r="Z23" s="620">
        <v>410</v>
      </c>
      <c r="AA23" s="620">
        <v>836</v>
      </c>
      <c r="AB23" s="235">
        <f t="shared" si="37"/>
        <v>103.9</v>
      </c>
      <c r="AC23" s="307">
        <f t="shared" si="38"/>
        <v>500</v>
      </c>
      <c r="AD23" s="307">
        <f t="shared" si="39"/>
        <v>142</v>
      </c>
      <c r="AE23" s="571">
        <f t="shared" si="40"/>
        <v>-71.599999999999994</v>
      </c>
      <c r="AF23" s="383">
        <v>910</v>
      </c>
      <c r="AG23" s="383">
        <v>978</v>
      </c>
      <c r="AH23" s="571">
        <f t="shared" ref="AH23:AH28" si="47">ROUND(((AG23/AF23-1)*100), 1)</f>
        <v>7.5</v>
      </c>
    </row>
    <row r="24" spans="1:34">
      <c r="A24" s="3"/>
      <c r="B24" s="39" t="s">
        <v>344</v>
      </c>
      <c r="C24" s="182">
        <v>1101</v>
      </c>
      <c r="D24" s="182">
        <v>501</v>
      </c>
      <c r="E24" s="182">
        <v>1277</v>
      </c>
      <c r="F24" s="40">
        <v>0</v>
      </c>
      <c r="G24" s="613">
        <v>1552</v>
      </c>
      <c r="H24" s="383">
        <v>0</v>
      </c>
      <c r="I24" s="620">
        <v>0</v>
      </c>
      <c r="J24" s="579">
        <v>0</v>
      </c>
      <c r="K24" s="307">
        <f t="shared" si="31"/>
        <v>499</v>
      </c>
      <c r="L24" s="307">
        <f t="shared" si="32"/>
        <v>0</v>
      </c>
      <c r="M24" s="571">
        <f t="shared" si="42"/>
        <v>-100</v>
      </c>
      <c r="N24" s="383">
        <v>499</v>
      </c>
      <c r="O24" s="383">
        <v>0</v>
      </c>
      <c r="P24" s="571">
        <f t="shared" si="43"/>
        <v>-100</v>
      </c>
      <c r="Q24" s="483">
        <f t="shared" si="44"/>
        <v>0</v>
      </c>
      <c r="R24" s="483">
        <f t="shared" si="45"/>
        <v>0</v>
      </c>
      <c r="S24" s="579">
        <v>0</v>
      </c>
      <c r="T24" s="383">
        <v>499</v>
      </c>
      <c r="U24" s="383">
        <v>0</v>
      </c>
      <c r="V24" s="571">
        <f t="shared" si="46"/>
        <v>-100</v>
      </c>
      <c r="W24" s="307">
        <f t="shared" si="35"/>
        <v>0</v>
      </c>
      <c r="X24" s="307">
        <f t="shared" si="36"/>
        <v>0</v>
      </c>
      <c r="Y24" s="579">
        <v>0</v>
      </c>
      <c r="Z24" s="620">
        <v>499</v>
      </c>
      <c r="AA24" s="620">
        <v>0</v>
      </c>
      <c r="AB24" s="571">
        <f t="shared" si="37"/>
        <v>-100</v>
      </c>
      <c r="AC24" s="307">
        <f t="shared" si="38"/>
        <v>0</v>
      </c>
      <c r="AD24" s="307">
        <f t="shared" si="39"/>
        <v>0</v>
      </c>
      <c r="AE24" s="579">
        <v>0</v>
      </c>
      <c r="AF24" s="383">
        <v>499</v>
      </c>
      <c r="AG24" s="383">
        <v>0</v>
      </c>
      <c r="AH24" s="571">
        <f t="shared" si="47"/>
        <v>-100</v>
      </c>
    </row>
    <row r="25" spans="1:34">
      <c r="A25" s="3"/>
      <c r="B25" s="39" t="s">
        <v>342</v>
      </c>
      <c r="C25" s="182">
        <v>26423</v>
      </c>
      <c r="D25" s="182">
        <v>19864</v>
      </c>
      <c r="E25" s="182">
        <v>9597</v>
      </c>
      <c r="F25" s="40">
        <v>2299</v>
      </c>
      <c r="G25" s="613">
        <v>1331</v>
      </c>
      <c r="H25" s="383">
        <v>0</v>
      </c>
      <c r="I25" s="620">
        <v>590</v>
      </c>
      <c r="J25" s="579">
        <v>0</v>
      </c>
      <c r="K25" s="307">
        <f t="shared" si="31"/>
        <v>0</v>
      </c>
      <c r="L25" s="307">
        <f t="shared" si="32"/>
        <v>416</v>
      </c>
      <c r="M25" s="579">
        <v>0</v>
      </c>
      <c r="N25" s="383">
        <v>0</v>
      </c>
      <c r="O25" s="383">
        <v>1006</v>
      </c>
      <c r="P25" s="579">
        <v>0</v>
      </c>
      <c r="Q25" s="483">
        <f t="shared" si="44"/>
        <v>597</v>
      </c>
      <c r="R25" s="483">
        <f t="shared" si="45"/>
        <v>0</v>
      </c>
      <c r="S25" s="571">
        <f t="shared" ref="S25:S28" si="48">ROUND(((R25/Q25-1)*100), 1)</f>
        <v>-100</v>
      </c>
      <c r="T25" s="383">
        <v>597</v>
      </c>
      <c r="U25" s="383">
        <v>1006</v>
      </c>
      <c r="V25" s="571">
        <f t="shared" si="46"/>
        <v>68.5</v>
      </c>
      <c r="W25" s="307">
        <f t="shared" si="35"/>
        <v>0</v>
      </c>
      <c r="X25" s="307">
        <f t="shared" si="36"/>
        <v>345</v>
      </c>
      <c r="Y25" s="579">
        <v>0</v>
      </c>
      <c r="Z25" s="620">
        <v>597</v>
      </c>
      <c r="AA25" s="620">
        <v>1351</v>
      </c>
      <c r="AB25" s="235">
        <f t="shared" si="37"/>
        <v>126.3</v>
      </c>
      <c r="AC25" s="307">
        <f t="shared" si="38"/>
        <v>83</v>
      </c>
      <c r="AD25" s="307">
        <f t="shared" si="39"/>
        <v>370</v>
      </c>
      <c r="AE25" s="571">
        <f t="shared" si="40"/>
        <v>345.8</v>
      </c>
      <c r="AF25" s="383">
        <v>680</v>
      </c>
      <c r="AG25" s="383">
        <v>1721</v>
      </c>
      <c r="AH25" s="571">
        <f t="shared" si="47"/>
        <v>153.1</v>
      </c>
    </row>
    <row r="26" spans="1:34">
      <c r="A26" s="3"/>
      <c r="B26" s="39" t="s">
        <v>335</v>
      </c>
      <c r="C26" s="182">
        <v>408</v>
      </c>
      <c r="D26" s="182">
        <v>960</v>
      </c>
      <c r="E26" s="182">
        <v>1735</v>
      </c>
      <c r="F26" s="40">
        <v>408</v>
      </c>
      <c r="G26" s="613">
        <v>1282</v>
      </c>
      <c r="H26" s="383">
        <v>0</v>
      </c>
      <c r="I26" s="620">
        <v>0</v>
      </c>
      <c r="J26" s="579">
        <v>0</v>
      </c>
      <c r="K26" s="307">
        <f t="shared" si="31"/>
        <v>102</v>
      </c>
      <c r="L26" s="307">
        <f t="shared" si="32"/>
        <v>0</v>
      </c>
      <c r="M26" s="571">
        <f t="shared" si="42"/>
        <v>-100</v>
      </c>
      <c r="N26" s="383">
        <v>102</v>
      </c>
      <c r="O26" s="383">
        <v>0</v>
      </c>
      <c r="P26" s="571">
        <f t="shared" si="43"/>
        <v>-100</v>
      </c>
      <c r="Q26" s="483">
        <f t="shared" si="44"/>
        <v>101</v>
      </c>
      <c r="R26" s="483">
        <f t="shared" si="45"/>
        <v>0</v>
      </c>
      <c r="S26" s="571">
        <f t="shared" si="48"/>
        <v>-100</v>
      </c>
      <c r="T26" s="383">
        <v>203</v>
      </c>
      <c r="U26" s="383">
        <v>0</v>
      </c>
      <c r="V26" s="571">
        <f t="shared" si="46"/>
        <v>-100</v>
      </c>
      <c r="W26" s="307">
        <f t="shared" si="35"/>
        <v>0</v>
      </c>
      <c r="X26" s="307">
        <f t="shared" si="36"/>
        <v>0</v>
      </c>
      <c r="Y26" s="462">
        <v>0</v>
      </c>
      <c r="Z26" s="620">
        <v>203</v>
      </c>
      <c r="AA26" s="620">
        <v>0</v>
      </c>
      <c r="AB26" s="235">
        <f t="shared" si="37"/>
        <v>-100</v>
      </c>
      <c r="AC26" s="307">
        <f t="shared" si="38"/>
        <v>102</v>
      </c>
      <c r="AD26" s="307">
        <f t="shared" si="39"/>
        <v>0</v>
      </c>
      <c r="AE26" s="571">
        <f t="shared" si="40"/>
        <v>-100</v>
      </c>
      <c r="AF26" s="383">
        <v>305</v>
      </c>
      <c r="AG26" s="383">
        <v>0</v>
      </c>
      <c r="AH26" s="571">
        <f t="shared" si="47"/>
        <v>-100</v>
      </c>
    </row>
    <row r="27" spans="1:34">
      <c r="A27" s="3"/>
      <c r="B27" s="39" t="s">
        <v>331</v>
      </c>
      <c r="C27" s="182">
        <v>772</v>
      </c>
      <c r="D27" s="182">
        <v>1455</v>
      </c>
      <c r="E27" s="182">
        <v>1741</v>
      </c>
      <c r="F27" s="40">
        <v>1730</v>
      </c>
      <c r="G27" s="613">
        <v>1061</v>
      </c>
      <c r="H27" s="383">
        <v>108</v>
      </c>
      <c r="I27" s="620">
        <v>19</v>
      </c>
      <c r="J27" s="571">
        <f t="shared" si="41"/>
        <v>-82.4</v>
      </c>
      <c r="K27" s="307">
        <f t="shared" si="31"/>
        <v>61</v>
      </c>
      <c r="L27" s="307">
        <f t="shared" si="32"/>
        <v>25</v>
      </c>
      <c r="M27" s="571">
        <f t="shared" si="42"/>
        <v>-59</v>
      </c>
      <c r="N27" s="383">
        <v>169</v>
      </c>
      <c r="O27" s="383">
        <v>44</v>
      </c>
      <c r="P27" s="571">
        <f t="shared" si="43"/>
        <v>-74</v>
      </c>
      <c r="Q27" s="483">
        <f t="shared" si="44"/>
        <v>127</v>
      </c>
      <c r="R27" s="483">
        <f t="shared" si="45"/>
        <v>0</v>
      </c>
      <c r="S27" s="571">
        <f t="shared" si="48"/>
        <v>-100</v>
      </c>
      <c r="T27" s="383">
        <v>296</v>
      </c>
      <c r="U27" s="383">
        <v>44</v>
      </c>
      <c r="V27" s="571">
        <f t="shared" si="46"/>
        <v>-85.1</v>
      </c>
      <c r="W27" s="307">
        <f t="shared" si="35"/>
        <v>81</v>
      </c>
      <c r="X27" s="307">
        <f t="shared" si="36"/>
        <v>25</v>
      </c>
      <c r="Y27" s="571">
        <f>ROUND(((X27/W27-1)*100), 1)</f>
        <v>-69.099999999999994</v>
      </c>
      <c r="Z27" s="620">
        <v>377</v>
      </c>
      <c r="AA27" s="620">
        <v>69</v>
      </c>
      <c r="AB27" s="235">
        <f t="shared" si="37"/>
        <v>-81.7</v>
      </c>
      <c r="AC27" s="307">
        <f t="shared" si="38"/>
        <v>104</v>
      </c>
      <c r="AD27" s="307">
        <f t="shared" si="39"/>
        <v>0</v>
      </c>
      <c r="AE27" s="571">
        <f t="shared" si="40"/>
        <v>-100</v>
      </c>
      <c r="AF27" s="383">
        <v>481</v>
      </c>
      <c r="AG27" s="383">
        <v>69</v>
      </c>
      <c r="AH27" s="571">
        <f t="shared" si="47"/>
        <v>-85.7</v>
      </c>
    </row>
    <row r="28" spans="1:34">
      <c r="A28" s="3"/>
      <c r="B28" s="39" t="s">
        <v>345</v>
      </c>
      <c r="C28" s="182">
        <v>0</v>
      </c>
      <c r="D28" s="182">
        <v>200</v>
      </c>
      <c r="E28" s="182">
        <v>1008</v>
      </c>
      <c r="F28" s="40">
        <v>502</v>
      </c>
      <c r="G28" s="613">
        <v>806</v>
      </c>
      <c r="H28" s="383">
        <v>0</v>
      </c>
      <c r="I28" s="620">
        <v>0</v>
      </c>
      <c r="J28" s="579">
        <v>0</v>
      </c>
      <c r="K28" s="307">
        <f t="shared" si="31"/>
        <v>0</v>
      </c>
      <c r="L28" s="307">
        <f t="shared" si="32"/>
        <v>0</v>
      </c>
      <c r="M28" s="579">
        <v>0</v>
      </c>
      <c r="N28" s="383">
        <v>0</v>
      </c>
      <c r="O28" s="383">
        <v>0</v>
      </c>
      <c r="P28" s="579">
        <v>0</v>
      </c>
      <c r="Q28" s="483">
        <f t="shared" si="44"/>
        <v>806</v>
      </c>
      <c r="R28" s="483">
        <f t="shared" si="45"/>
        <v>0</v>
      </c>
      <c r="S28" s="571">
        <f t="shared" si="48"/>
        <v>-100</v>
      </c>
      <c r="T28" s="383">
        <v>806</v>
      </c>
      <c r="U28" s="383">
        <v>0</v>
      </c>
      <c r="V28" s="571">
        <f t="shared" si="46"/>
        <v>-100</v>
      </c>
      <c r="W28" s="307">
        <f t="shared" si="35"/>
        <v>0</v>
      </c>
      <c r="X28" s="307">
        <f t="shared" si="36"/>
        <v>0</v>
      </c>
      <c r="Y28" s="462">
        <v>0</v>
      </c>
      <c r="Z28" s="620">
        <v>806</v>
      </c>
      <c r="AA28" s="620">
        <v>0</v>
      </c>
      <c r="AB28" s="235">
        <f t="shared" si="37"/>
        <v>-100</v>
      </c>
      <c r="AC28" s="307">
        <f t="shared" si="38"/>
        <v>0</v>
      </c>
      <c r="AD28" s="307">
        <f t="shared" si="39"/>
        <v>19</v>
      </c>
      <c r="AE28" s="579">
        <v>0</v>
      </c>
      <c r="AF28" s="383">
        <v>806</v>
      </c>
      <c r="AG28" s="383">
        <v>19</v>
      </c>
      <c r="AH28" s="571">
        <f t="shared" si="47"/>
        <v>-97.6</v>
      </c>
    </row>
    <row r="29" spans="1:34">
      <c r="A29" s="3"/>
      <c r="B29" s="39" t="s">
        <v>349</v>
      </c>
      <c r="C29" s="182">
        <v>1</v>
      </c>
      <c r="D29" s="182">
        <v>64</v>
      </c>
      <c r="E29" s="182">
        <v>0</v>
      </c>
      <c r="F29" s="40">
        <v>0</v>
      </c>
      <c r="G29" s="613">
        <v>10</v>
      </c>
      <c r="H29" s="383">
        <v>0</v>
      </c>
      <c r="I29" s="620">
        <v>0</v>
      </c>
      <c r="J29" s="579">
        <v>0</v>
      </c>
      <c r="K29" s="307">
        <f t="shared" si="31"/>
        <v>0</v>
      </c>
      <c r="L29" s="307">
        <f t="shared" si="32"/>
        <v>0</v>
      </c>
      <c r="M29" s="579">
        <v>0</v>
      </c>
      <c r="N29" s="383">
        <v>0</v>
      </c>
      <c r="O29" s="383">
        <v>0</v>
      </c>
      <c r="P29" s="579">
        <v>0</v>
      </c>
      <c r="Q29" s="483">
        <f t="shared" si="44"/>
        <v>0</v>
      </c>
      <c r="R29" s="483">
        <f t="shared" si="45"/>
        <v>0</v>
      </c>
      <c r="S29" s="579">
        <v>0</v>
      </c>
      <c r="T29" s="383">
        <v>0</v>
      </c>
      <c r="U29" s="383">
        <v>0</v>
      </c>
      <c r="V29" s="579">
        <v>0</v>
      </c>
      <c r="W29" s="307">
        <f t="shared" si="35"/>
        <v>0</v>
      </c>
      <c r="X29" s="307">
        <f t="shared" si="36"/>
        <v>0</v>
      </c>
      <c r="Y29" s="579">
        <v>0</v>
      </c>
      <c r="Z29" s="620">
        <v>0</v>
      </c>
      <c r="AA29" s="620">
        <v>0</v>
      </c>
      <c r="AB29" s="462">
        <v>0</v>
      </c>
      <c r="AC29" s="307">
        <f t="shared" si="38"/>
        <v>0</v>
      </c>
      <c r="AD29" s="307">
        <f t="shared" si="39"/>
        <v>0</v>
      </c>
      <c r="AE29" s="579">
        <v>0</v>
      </c>
      <c r="AF29" s="383">
        <v>0</v>
      </c>
      <c r="AG29" s="383">
        <v>0</v>
      </c>
      <c r="AH29" s="579">
        <v>0</v>
      </c>
    </row>
    <row r="30" spans="1:34" s="605" customFormat="1">
      <c r="A30" s="690"/>
      <c r="B30" s="611" t="s">
        <v>586</v>
      </c>
      <c r="C30" s="613">
        <v>0</v>
      </c>
      <c r="D30" s="613">
        <v>0</v>
      </c>
      <c r="E30" s="613">
        <v>0</v>
      </c>
      <c r="F30" s="613">
        <v>0</v>
      </c>
      <c r="G30" s="613">
        <v>0</v>
      </c>
      <c r="H30" s="383">
        <v>0</v>
      </c>
      <c r="I30" s="620">
        <v>994</v>
      </c>
      <c r="J30" s="579">
        <v>0</v>
      </c>
      <c r="K30" s="483"/>
      <c r="L30" s="483">
        <f t="shared" si="32"/>
        <v>2206</v>
      </c>
      <c r="M30" s="579">
        <v>0</v>
      </c>
      <c r="N30" s="383">
        <v>0</v>
      </c>
      <c r="O30" s="383">
        <v>3200</v>
      </c>
      <c r="P30" s="579">
        <v>0</v>
      </c>
      <c r="Q30" s="483">
        <f t="shared" si="44"/>
        <v>0</v>
      </c>
      <c r="R30" s="483">
        <f t="shared" si="45"/>
        <v>727</v>
      </c>
      <c r="S30" s="579">
        <v>0</v>
      </c>
      <c r="T30" s="383">
        <v>0</v>
      </c>
      <c r="U30" s="383">
        <v>3927</v>
      </c>
      <c r="V30" s="579">
        <v>0</v>
      </c>
      <c r="W30" s="483">
        <f t="shared" ref="W30" si="49">Z30-T30</f>
        <v>0</v>
      </c>
      <c r="X30" s="483">
        <f t="shared" ref="X30" si="50">AA30-U30</f>
        <v>53</v>
      </c>
      <c r="Y30" s="579">
        <v>0</v>
      </c>
      <c r="Z30" s="620">
        <v>0</v>
      </c>
      <c r="AA30" s="620">
        <v>3980</v>
      </c>
      <c r="AB30" s="579">
        <v>0</v>
      </c>
      <c r="AC30" s="483">
        <f t="shared" ref="AC30" si="51">AF30-Z30</f>
        <v>0</v>
      </c>
      <c r="AD30" s="483">
        <f t="shared" ref="AD30" si="52">AG30-AA30</f>
        <v>0</v>
      </c>
      <c r="AE30" s="579">
        <v>0</v>
      </c>
      <c r="AF30" s="383">
        <v>0</v>
      </c>
      <c r="AG30" s="383">
        <v>3980</v>
      </c>
      <c r="AH30" s="579">
        <v>0</v>
      </c>
    </row>
    <row r="31" spans="1:34">
      <c r="A31" s="3"/>
      <c r="B31" s="39" t="s">
        <v>346</v>
      </c>
      <c r="C31" s="182">
        <v>3999</v>
      </c>
      <c r="D31" s="182">
        <v>984</v>
      </c>
      <c r="E31" s="182">
        <v>964</v>
      </c>
      <c r="F31" s="40">
        <v>659</v>
      </c>
      <c r="G31" s="613">
        <v>0</v>
      </c>
      <c r="H31" s="383">
        <v>0</v>
      </c>
      <c r="I31" s="620">
        <v>0</v>
      </c>
      <c r="J31" s="579">
        <v>0</v>
      </c>
      <c r="K31" s="307">
        <f t="shared" si="31"/>
        <v>0</v>
      </c>
      <c r="L31" s="307">
        <f t="shared" si="32"/>
        <v>0</v>
      </c>
      <c r="M31" s="579">
        <v>0</v>
      </c>
      <c r="N31" s="383">
        <v>0</v>
      </c>
      <c r="O31" s="383">
        <v>0</v>
      </c>
      <c r="P31" s="579">
        <v>0</v>
      </c>
      <c r="Q31" s="483">
        <f t="shared" si="44"/>
        <v>0</v>
      </c>
      <c r="R31" s="483">
        <f t="shared" si="45"/>
        <v>0</v>
      </c>
      <c r="S31" s="579">
        <v>0</v>
      </c>
      <c r="T31" s="383">
        <v>0</v>
      </c>
      <c r="U31" s="383">
        <v>0</v>
      </c>
      <c r="V31" s="579">
        <v>0</v>
      </c>
      <c r="W31" s="307">
        <f t="shared" si="35"/>
        <v>0</v>
      </c>
      <c r="X31" s="307">
        <f t="shared" si="36"/>
        <v>0</v>
      </c>
      <c r="Y31" s="462">
        <v>0</v>
      </c>
      <c r="Z31" s="620">
        <v>0</v>
      </c>
      <c r="AA31" s="620">
        <v>0</v>
      </c>
      <c r="AB31" s="579">
        <v>0</v>
      </c>
      <c r="AC31" s="307">
        <f t="shared" si="38"/>
        <v>0</v>
      </c>
      <c r="AD31" s="307">
        <f t="shared" si="39"/>
        <v>0</v>
      </c>
      <c r="AE31" s="462">
        <v>0</v>
      </c>
      <c r="AF31" s="383">
        <v>0</v>
      </c>
      <c r="AG31" s="383">
        <v>0</v>
      </c>
      <c r="AH31" s="579">
        <v>0</v>
      </c>
    </row>
    <row r="32" spans="1:34">
      <c r="A32" s="3"/>
      <c r="B32" s="39" t="s">
        <v>347</v>
      </c>
      <c r="C32" s="182">
        <v>100</v>
      </c>
      <c r="D32" s="182">
        <v>200</v>
      </c>
      <c r="E32" s="182">
        <v>0</v>
      </c>
      <c r="F32" s="40">
        <v>0</v>
      </c>
      <c r="G32" s="613">
        <v>0</v>
      </c>
      <c r="H32" s="383">
        <v>0</v>
      </c>
      <c r="I32" s="620">
        <v>0</v>
      </c>
      <c r="J32" s="579">
        <v>0</v>
      </c>
      <c r="K32" s="307">
        <f t="shared" si="31"/>
        <v>0</v>
      </c>
      <c r="L32" s="307">
        <f t="shared" si="32"/>
        <v>0</v>
      </c>
      <c r="M32" s="579">
        <v>0</v>
      </c>
      <c r="N32" s="383">
        <v>0</v>
      </c>
      <c r="O32" s="383">
        <v>0</v>
      </c>
      <c r="P32" s="579">
        <v>0</v>
      </c>
      <c r="Q32" s="483">
        <f t="shared" si="44"/>
        <v>0</v>
      </c>
      <c r="R32" s="483">
        <f t="shared" si="45"/>
        <v>0</v>
      </c>
      <c r="S32" s="579">
        <v>0</v>
      </c>
      <c r="T32" s="383">
        <v>0</v>
      </c>
      <c r="U32" s="383">
        <v>0</v>
      </c>
      <c r="V32" s="579">
        <v>0</v>
      </c>
      <c r="W32" s="307">
        <f t="shared" si="35"/>
        <v>0</v>
      </c>
      <c r="X32" s="307">
        <f t="shared" si="36"/>
        <v>0</v>
      </c>
      <c r="Y32" s="462">
        <v>0</v>
      </c>
      <c r="Z32" s="620">
        <v>0</v>
      </c>
      <c r="AA32" s="620">
        <v>0</v>
      </c>
      <c r="AB32" s="462">
        <v>0</v>
      </c>
      <c r="AC32" s="307">
        <f t="shared" si="38"/>
        <v>0</v>
      </c>
      <c r="AD32" s="307">
        <f t="shared" si="39"/>
        <v>0</v>
      </c>
      <c r="AE32" s="462">
        <v>0</v>
      </c>
      <c r="AF32" s="383">
        <v>0</v>
      </c>
      <c r="AG32" s="383">
        <v>0</v>
      </c>
      <c r="AH32" s="462">
        <v>0</v>
      </c>
    </row>
    <row r="33" spans="1:34">
      <c r="A33" s="3"/>
      <c r="B33" s="39" t="s">
        <v>348</v>
      </c>
      <c r="C33" s="182">
        <v>99</v>
      </c>
      <c r="D33" s="182">
        <v>102</v>
      </c>
      <c r="E33" s="182">
        <v>0</v>
      </c>
      <c r="F33" s="40">
        <v>0</v>
      </c>
      <c r="G33" s="613">
        <v>0</v>
      </c>
      <c r="H33" s="383">
        <v>0</v>
      </c>
      <c r="I33" s="620">
        <v>0</v>
      </c>
      <c r="J33" s="579">
        <v>0</v>
      </c>
      <c r="K33" s="307">
        <f t="shared" si="31"/>
        <v>0</v>
      </c>
      <c r="L33" s="307">
        <f t="shared" si="32"/>
        <v>0</v>
      </c>
      <c r="M33" s="171">
        <v>0</v>
      </c>
      <c r="N33" s="383">
        <v>0</v>
      </c>
      <c r="O33" s="383">
        <v>0</v>
      </c>
      <c r="P33" s="171">
        <v>0</v>
      </c>
      <c r="Q33" s="483">
        <f t="shared" si="44"/>
        <v>0</v>
      </c>
      <c r="R33" s="483">
        <f t="shared" si="45"/>
        <v>0</v>
      </c>
      <c r="S33" s="579">
        <v>0</v>
      </c>
      <c r="T33" s="383">
        <v>0</v>
      </c>
      <c r="U33" s="383">
        <v>0</v>
      </c>
      <c r="V33" s="171">
        <v>0</v>
      </c>
      <c r="W33" s="307">
        <f t="shared" si="35"/>
        <v>0</v>
      </c>
      <c r="X33" s="307">
        <f t="shared" si="36"/>
        <v>0</v>
      </c>
      <c r="Y33" s="462">
        <v>0</v>
      </c>
      <c r="Z33" s="620">
        <v>0</v>
      </c>
      <c r="AA33" s="620">
        <v>0</v>
      </c>
      <c r="AB33" s="462">
        <v>0</v>
      </c>
      <c r="AC33" s="307">
        <f t="shared" si="38"/>
        <v>0</v>
      </c>
      <c r="AD33" s="307">
        <f t="shared" si="39"/>
        <v>0</v>
      </c>
      <c r="AE33" s="462">
        <v>0</v>
      </c>
      <c r="AF33" s="383">
        <v>0</v>
      </c>
      <c r="AG33" s="383">
        <v>0</v>
      </c>
      <c r="AH33" s="462">
        <v>0</v>
      </c>
    </row>
    <row r="34" spans="1:34">
      <c r="A34" s="3"/>
      <c r="B34" s="39" t="s">
        <v>350</v>
      </c>
      <c r="C34" s="182">
        <v>1991</v>
      </c>
      <c r="D34" s="182">
        <v>0</v>
      </c>
      <c r="E34" s="182">
        <v>0</v>
      </c>
      <c r="F34" s="40">
        <v>0</v>
      </c>
      <c r="G34" s="613">
        <v>0</v>
      </c>
      <c r="H34" s="383">
        <v>0</v>
      </c>
      <c r="I34" s="620">
        <v>0</v>
      </c>
      <c r="J34" s="579">
        <v>0</v>
      </c>
      <c r="K34" s="307">
        <f t="shared" si="31"/>
        <v>0</v>
      </c>
      <c r="L34" s="307">
        <f t="shared" si="32"/>
        <v>0</v>
      </c>
      <c r="M34" s="171">
        <v>0</v>
      </c>
      <c r="N34" s="383">
        <v>0</v>
      </c>
      <c r="O34" s="383">
        <v>0</v>
      </c>
      <c r="P34" s="171">
        <v>0</v>
      </c>
      <c r="Q34" s="307">
        <f t="shared" si="33"/>
        <v>0</v>
      </c>
      <c r="R34" s="307">
        <f t="shared" si="34"/>
        <v>0</v>
      </c>
      <c r="S34" s="171">
        <v>0</v>
      </c>
      <c r="T34" s="383">
        <v>0</v>
      </c>
      <c r="U34" s="383">
        <v>0</v>
      </c>
      <c r="V34" s="171">
        <v>0</v>
      </c>
      <c r="W34" s="307">
        <f t="shared" si="35"/>
        <v>0</v>
      </c>
      <c r="X34" s="307">
        <f t="shared" si="36"/>
        <v>0</v>
      </c>
      <c r="Y34" s="462">
        <v>0</v>
      </c>
      <c r="Z34" s="620">
        <v>0</v>
      </c>
      <c r="AA34" s="620">
        <v>0</v>
      </c>
      <c r="AB34" s="462">
        <v>0</v>
      </c>
      <c r="AC34" s="307">
        <f t="shared" si="38"/>
        <v>0</v>
      </c>
      <c r="AD34" s="307">
        <f t="shared" si="39"/>
        <v>0</v>
      </c>
      <c r="AE34" s="462">
        <v>0</v>
      </c>
      <c r="AF34" s="383">
        <v>0</v>
      </c>
      <c r="AG34" s="383">
        <v>0</v>
      </c>
      <c r="AH34" s="462">
        <v>0</v>
      </c>
    </row>
    <row r="35" spans="1:34">
      <c r="A35" s="3"/>
      <c r="B35" s="39" t="s">
        <v>337</v>
      </c>
      <c r="C35" s="182">
        <f t="shared" ref="C35:E35" si="53">C36-SUM(C19:C34)</f>
        <v>7</v>
      </c>
      <c r="D35" s="182">
        <f t="shared" si="53"/>
        <v>302</v>
      </c>
      <c r="E35" s="182">
        <f t="shared" si="53"/>
        <v>563</v>
      </c>
      <c r="F35" s="40">
        <f>F36-SUM(F19:F34)</f>
        <v>103</v>
      </c>
      <c r="G35" s="613">
        <f>G36-SUM(G19:G34)</f>
        <v>254</v>
      </c>
      <c r="H35" s="383">
        <f t="shared" ref="H35" si="54">H36-SUM(H19:H34)</f>
        <v>52</v>
      </c>
      <c r="I35" s="620">
        <f t="shared" ref="I35" si="55">I36-SUM(I19:I34)</f>
        <v>0</v>
      </c>
      <c r="J35" s="525">
        <f t="shared" si="41"/>
        <v>-100</v>
      </c>
      <c r="K35" s="441">
        <f>K36-SUM(K19:K34)</f>
        <v>0</v>
      </c>
      <c r="L35" s="442">
        <f>L36-SUM(L19:L34)</f>
        <v>0</v>
      </c>
      <c r="M35" s="172">
        <v>0</v>
      </c>
      <c r="N35" s="383">
        <f>N36-SUM(N19:N34)</f>
        <v>52</v>
      </c>
      <c r="O35" s="383">
        <f t="shared" ref="O35" si="56">O36-SUM(O19:O34)</f>
        <v>0</v>
      </c>
      <c r="P35" s="525">
        <f t="shared" ref="P35" si="57">ROUND(((O35/N35-1)*100), 1)</f>
        <v>-100</v>
      </c>
      <c r="Q35" s="441">
        <f>Q36-SUM(Q19:Q34)</f>
        <v>0</v>
      </c>
      <c r="R35" s="442">
        <f>R36-SUM(R19:R34)</f>
        <v>0</v>
      </c>
      <c r="S35" s="525" t="e">
        <f t="shared" ref="S35" si="58">ROUND(((R35/Q35-1)*100), 1)</f>
        <v>#DIV/0!</v>
      </c>
      <c r="T35" s="383">
        <f>T36-SUM(T19:T34)</f>
        <v>52</v>
      </c>
      <c r="U35" s="383">
        <f t="shared" ref="U35" si="59">U36-SUM(U19:U34)</f>
        <v>0</v>
      </c>
      <c r="V35" s="525">
        <f t="shared" ref="V35" si="60">ROUND(((U35/T35-1)*100), 1)</f>
        <v>-100</v>
      </c>
      <c r="W35" s="441">
        <f>W36-SUM(W19:W34)</f>
        <v>0</v>
      </c>
      <c r="X35" s="442">
        <f>X36-SUM(X19:X34)</f>
        <v>400</v>
      </c>
      <c r="Y35" s="463">
        <v>0</v>
      </c>
      <c r="Z35" s="620">
        <f>Z36-SUM(Z19:Z34)</f>
        <v>52</v>
      </c>
      <c r="AA35" s="620">
        <f t="shared" ref="AA35" si="61">AA36-SUM(AA19:AA34)</f>
        <v>400</v>
      </c>
      <c r="AB35" s="525">
        <f>ROUND(((AA35/Z35-1)*100), 1)</f>
        <v>669.2</v>
      </c>
      <c r="AC35" s="441">
        <f>AC36-SUM(AC19:AC34)</f>
        <v>0</v>
      </c>
      <c r="AD35" s="442">
        <f>AD36-SUM(AD19:AD34)</f>
        <v>0</v>
      </c>
      <c r="AE35" s="463">
        <v>0</v>
      </c>
      <c r="AF35" s="383">
        <f>AF36-SUM(AF19:AF34)</f>
        <v>52</v>
      </c>
      <c r="AG35" s="383">
        <f t="shared" ref="AG35" si="62">AG36-SUM(AG19:AG34)</f>
        <v>400</v>
      </c>
      <c r="AH35" s="571">
        <f t="shared" ref="AH35" si="63">ROUND(((AG35/AF35-1)*100), 1)</f>
        <v>669.2</v>
      </c>
    </row>
    <row r="36" spans="1:34">
      <c r="A36" s="8"/>
      <c r="B36" s="63" t="s">
        <v>101</v>
      </c>
      <c r="C36" s="308">
        <v>379515</v>
      </c>
      <c r="D36" s="308">
        <v>308946</v>
      </c>
      <c r="E36" s="308">
        <v>262628</v>
      </c>
      <c r="F36" s="42">
        <v>229099</v>
      </c>
      <c r="G36" s="614">
        <v>220767</v>
      </c>
      <c r="H36" s="373">
        <v>16249</v>
      </c>
      <c r="I36" s="621">
        <v>25361</v>
      </c>
      <c r="J36" s="227">
        <f>ROUND(((I36/H36-1)*100), 1)</f>
        <v>56.1</v>
      </c>
      <c r="K36" s="443">
        <f>N36-H36</f>
        <v>16674</v>
      </c>
      <c r="L36" s="372">
        <f>O36-I36</f>
        <v>24458</v>
      </c>
      <c r="M36" s="236">
        <f>ROUND(((L36/K36-1)*100), 1)</f>
        <v>46.7</v>
      </c>
      <c r="N36" s="373">
        <v>32923</v>
      </c>
      <c r="O36" s="373">
        <v>49819</v>
      </c>
      <c r="P36" s="236">
        <f>ROUND(((O36/N36-1)*100), 1)</f>
        <v>51.3</v>
      </c>
      <c r="Q36" s="443">
        <f>T36-N36</f>
        <v>20243</v>
      </c>
      <c r="R36" s="372">
        <f>U36-O36</f>
        <v>29828</v>
      </c>
      <c r="S36" s="236">
        <f>ROUND(((R36/Q36-1)*100), 1)</f>
        <v>47.3</v>
      </c>
      <c r="T36" s="373">
        <v>53166</v>
      </c>
      <c r="U36" s="373">
        <v>79647</v>
      </c>
      <c r="V36" s="236">
        <f>ROUND(((U36/T36-1)*100), 1)</f>
        <v>49.8</v>
      </c>
      <c r="W36" s="443">
        <f>Z36-T36</f>
        <v>21108</v>
      </c>
      <c r="X36" s="372">
        <f>AA36-U36</f>
        <v>24413</v>
      </c>
      <c r="Y36" s="236">
        <f>ROUND(((X36/W36-1)*100), 1)</f>
        <v>15.7</v>
      </c>
      <c r="Z36" s="621">
        <v>74274</v>
      </c>
      <c r="AA36" s="621">
        <v>104060</v>
      </c>
      <c r="AB36" s="236">
        <f>ROUND(((AA36/Z36-1)*100), 1)</f>
        <v>40.1</v>
      </c>
      <c r="AC36" s="443">
        <f>AF36-Z36</f>
        <v>17997</v>
      </c>
      <c r="AD36" s="372">
        <f>AG36-AA36</f>
        <v>25220</v>
      </c>
      <c r="AE36" s="236">
        <f>ROUND(((AD36/AC36-1)*100), 1)</f>
        <v>40.1</v>
      </c>
      <c r="AF36" s="373">
        <v>92271</v>
      </c>
      <c r="AG36" s="373">
        <v>129280</v>
      </c>
      <c r="AH36" s="236">
        <f>ROUND(((AG36/AF36-1)*100), 1)</f>
        <v>40.1</v>
      </c>
    </row>
    <row r="37" spans="1:34">
      <c r="A37" s="64" t="s">
        <v>111</v>
      </c>
      <c r="B37" s="278"/>
      <c r="C37" s="66"/>
      <c r="D37" s="66"/>
      <c r="E37" s="224"/>
      <c r="F37" s="224"/>
      <c r="G37" s="526"/>
      <c r="H37" s="526"/>
      <c r="I37" s="622"/>
      <c r="J37" s="230"/>
      <c r="K37" s="224"/>
      <c r="L37" s="224"/>
      <c r="M37" s="230"/>
      <c r="N37" s="526"/>
      <c r="O37" s="526"/>
      <c r="P37" s="230"/>
      <c r="Q37" s="224"/>
      <c r="R37" s="224"/>
      <c r="S37" s="230"/>
      <c r="T37" s="526"/>
      <c r="U37" s="526"/>
      <c r="V37" s="230"/>
      <c r="W37" s="224"/>
      <c r="X37" s="224"/>
      <c r="Y37" s="230"/>
      <c r="Z37" s="622"/>
      <c r="AA37" s="622"/>
      <c r="AB37" s="230"/>
      <c r="AC37" s="224"/>
      <c r="AD37" s="224"/>
      <c r="AE37" s="230"/>
      <c r="AF37" s="526"/>
      <c r="AG37" s="526"/>
      <c r="AH37" s="230"/>
    </row>
    <row r="38" spans="1:34">
      <c r="K38" s="292"/>
      <c r="Q38" s="292"/>
      <c r="W38" s="292"/>
      <c r="AC38" s="292"/>
    </row>
    <row r="39" spans="1:34">
      <c r="A39" s="840" t="s">
        <v>112</v>
      </c>
      <c r="B39" s="840"/>
      <c r="C39" s="57"/>
      <c r="G39" s="58" t="s">
        <v>113</v>
      </c>
      <c r="H39" s="222"/>
      <c r="I39" s="618"/>
      <c r="J39" s="228"/>
      <c r="K39" s="222"/>
      <c r="L39" s="222"/>
      <c r="M39" s="228"/>
      <c r="N39" s="222"/>
      <c r="O39" s="222"/>
      <c r="P39" s="228"/>
      <c r="Q39" s="222"/>
      <c r="R39" s="222"/>
      <c r="S39" s="228"/>
      <c r="T39" s="222"/>
      <c r="U39" s="222"/>
      <c r="V39" s="228"/>
      <c r="W39" s="222"/>
      <c r="X39" s="222"/>
      <c r="Y39" s="228"/>
      <c r="Z39" s="618"/>
      <c r="AA39" s="618"/>
      <c r="AB39" s="228"/>
      <c r="AC39" s="222"/>
      <c r="AD39" s="222"/>
      <c r="AE39" s="228"/>
      <c r="AF39" s="222"/>
      <c r="AG39" s="222"/>
      <c r="AH39" s="228"/>
    </row>
    <row r="40" spans="1:34">
      <c r="A40" s="69"/>
      <c r="B40" s="26"/>
      <c r="C40" s="70"/>
      <c r="D40" s="70"/>
      <c r="E40" s="266"/>
      <c r="F40" s="266"/>
      <c r="G40" s="567"/>
      <c r="H40" s="567"/>
      <c r="I40" s="624"/>
      <c r="J40" s="231" t="s">
        <v>87</v>
      </c>
      <c r="K40" s="266"/>
      <c r="L40" s="266"/>
      <c r="M40" s="243"/>
      <c r="N40" s="567"/>
      <c r="O40" s="567"/>
      <c r="P40" s="243" t="s">
        <v>87</v>
      </c>
      <c r="Q40" s="266"/>
      <c r="R40" s="266"/>
      <c r="S40" s="243"/>
      <c r="T40" s="567"/>
      <c r="U40" s="567"/>
      <c r="V40" s="243" t="s">
        <v>87</v>
      </c>
      <c r="W40" s="266"/>
      <c r="X40" s="266"/>
      <c r="Y40" s="243"/>
      <c r="Z40" s="624"/>
      <c r="AA40" s="624"/>
      <c r="AB40" s="243" t="s">
        <v>87</v>
      </c>
      <c r="AC40" s="266"/>
      <c r="AD40" s="266"/>
      <c r="AE40" s="243"/>
      <c r="AF40" s="567"/>
      <c r="AG40" s="567"/>
      <c r="AH40" s="243" t="s">
        <v>87</v>
      </c>
    </row>
    <row r="41" spans="1:34">
      <c r="A41" s="839" t="s">
        <v>88</v>
      </c>
      <c r="B41" s="839"/>
      <c r="C41" s="838" t="s">
        <v>2</v>
      </c>
      <c r="D41" s="838" t="s">
        <v>3</v>
      </c>
      <c r="E41" s="838" t="s">
        <v>76</v>
      </c>
      <c r="F41" s="838" t="s">
        <v>294</v>
      </c>
      <c r="G41" s="838" t="s">
        <v>431</v>
      </c>
      <c r="H41" s="837" t="s">
        <v>33</v>
      </c>
      <c r="I41" s="838"/>
      <c r="J41" s="839"/>
      <c r="K41" s="837" t="s">
        <v>471</v>
      </c>
      <c r="L41" s="838"/>
      <c r="M41" s="839"/>
      <c r="N41" s="837" t="s">
        <v>472</v>
      </c>
      <c r="O41" s="838"/>
      <c r="P41" s="839"/>
      <c r="Q41" s="837" t="s">
        <v>477</v>
      </c>
      <c r="R41" s="838"/>
      <c r="S41" s="839"/>
      <c r="T41" s="837" t="s">
        <v>478</v>
      </c>
      <c r="U41" s="838"/>
      <c r="V41" s="839"/>
      <c r="W41" s="837" t="s">
        <v>484</v>
      </c>
      <c r="X41" s="838"/>
      <c r="Y41" s="839"/>
      <c r="Z41" s="837" t="s">
        <v>486</v>
      </c>
      <c r="AA41" s="838"/>
      <c r="AB41" s="839"/>
      <c r="AC41" s="837" t="s">
        <v>495</v>
      </c>
      <c r="AD41" s="838"/>
      <c r="AE41" s="839"/>
      <c r="AF41" s="837" t="s">
        <v>496</v>
      </c>
      <c r="AG41" s="838"/>
      <c r="AH41" s="839"/>
    </row>
    <row r="42" spans="1:34">
      <c r="A42" s="839"/>
      <c r="B42" s="839"/>
      <c r="C42" s="838"/>
      <c r="D42" s="838"/>
      <c r="E42" s="838"/>
      <c r="F42" s="838"/>
      <c r="G42" s="838"/>
      <c r="H42" s="535" t="s">
        <v>431</v>
      </c>
      <c r="I42" s="697" t="s">
        <v>503</v>
      </c>
      <c r="J42" s="531" t="s">
        <v>5</v>
      </c>
      <c r="K42" s="535" t="s">
        <v>431</v>
      </c>
      <c r="L42" s="533" t="s">
        <v>503</v>
      </c>
      <c r="M42" s="531" t="s">
        <v>5</v>
      </c>
      <c r="N42" s="535" t="s">
        <v>431</v>
      </c>
      <c r="O42" s="533" t="s">
        <v>503</v>
      </c>
      <c r="P42" s="531" t="s">
        <v>5</v>
      </c>
      <c r="Q42" s="535" t="s">
        <v>431</v>
      </c>
      <c r="R42" s="533" t="s">
        <v>503</v>
      </c>
      <c r="S42" s="531" t="s">
        <v>5</v>
      </c>
      <c r="T42" s="535" t="s">
        <v>431</v>
      </c>
      <c r="U42" s="533" t="s">
        <v>503</v>
      </c>
      <c r="V42" s="531" t="s">
        <v>5</v>
      </c>
      <c r="W42" s="535" t="s">
        <v>431</v>
      </c>
      <c r="X42" s="533" t="s">
        <v>503</v>
      </c>
      <c r="Y42" s="531" t="s">
        <v>5</v>
      </c>
      <c r="Z42" s="698" t="s">
        <v>431</v>
      </c>
      <c r="AA42" s="697" t="s">
        <v>503</v>
      </c>
      <c r="AB42" s="531" t="s">
        <v>5</v>
      </c>
      <c r="AC42" s="535" t="s">
        <v>431</v>
      </c>
      <c r="AD42" s="533" t="s">
        <v>503</v>
      </c>
      <c r="AE42" s="531" t="s">
        <v>5</v>
      </c>
      <c r="AF42" s="535" t="s">
        <v>431</v>
      </c>
      <c r="AG42" s="533" t="s">
        <v>503</v>
      </c>
      <c r="AH42" s="531" t="s">
        <v>5</v>
      </c>
    </row>
    <row r="43" spans="1:34">
      <c r="A43" s="72"/>
      <c r="B43" s="73" t="s">
        <v>349</v>
      </c>
      <c r="C43" s="183">
        <v>13775</v>
      </c>
      <c r="D43" s="183">
        <v>17365</v>
      </c>
      <c r="E43" s="182">
        <v>15932</v>
      </c>
      <c r="F43" s="40">
        <v>14360</v>
      </c>
      <c r="G43" s="613">
        <v>15070</v>
      </c>
      <c r="H43" s="383">
        <v>1056</v>
      </c>
      <c r="I43" s="620">
        <v>1599</v>
      </c>
      <c r="J43" s="225">
        <f t="shared" ref="J43:J62" si="64">ROUND(((I43/H43-1)*100), 1)</f>
        <v>51.4</v>
      </c>
      <c r="K43" s="307">
        <f t="shared" ref="K43:K55" si="65">N43-H43</f>
        <v>1025</v>
      </c>
      <c r="L43" s="383">
        <f t="shared" ref="L43:L55" si="66">O43-I43</f>
        <v>1397</v>
      </c>
      <c r="M43" s="225">
        <f t="shared" ref="M43:M55" si="67">ROUND(((L43/K43-1)*100), 1)</f>
        <v>36.299999999999997</v>
      </c>
      <c r="N43" s="383">
        <v>2081</v>
      </c>
      <c r="O43" s="383">
        <v>2996</v>
      </c>
      <c r="P43" s="225">
        <f t="shared" ref="P43:P55" si="68">ROUND(((O43/N43-1)*100), 1)</f>
        <v>44</v>
      </c>
      <c r="Q43" s="307">
        <f t="shared" ref="Q43:Q55" si="69">T43-N43</f>
        <v>1237</v>
      </c>
      <c r="R43" s="383">
        <f t="shared" ref="R43:R55" si="70">U43-O43</f>
        <v>1304</v>
      </c>
      <c r="S43" s="225">
        <f t="shared" ref="S43:S56" si="71">ROUND(((R43/Q43-1)*100), 1)</f>
        <v>5.4</v>
      </c>
      <c r="T43" s="383">
        <v>3318</v>
      </c>
      <c r="U43" s="383">
        <v>4300</v>
      </c>
      <c r="V43" s="225">
        <f t="shared" ref="V43:V56" si="72">ROUND(((U43/T43-1)*100), 1)</f>
        <v>29.6</v>
      </c>
      <c r="W43" s="307">
        <f t="shared" ref="W43:W55" si="73">Z43-T43</f>
        <v>1340</v>
      </c>
      <c r="X43" s="383">
        <f t="shared" ref="X43:X55" si="74">AA43-U43</f>
        <v>1757</v>
      </c>
      <c r="Y43" s="225">
        <f t="shared" ref="Y43:Y60" si="75">ROUND(((X43/W43-1)*100), 1)</f>
        <v>31.1</v>
      </c>
      <c r="Z43" s="620">
        <v>4658</v>
      </c>
      <c r="AA43" s="620">
        <v>6057</v>
      </c>
      <c r="AB43" s="225">
        <f t="shared" ref="AB43:AB62" si="76">ROUND(((AA43/Z43-1)*100), 1)</f>
        <v>30</v>
      </c>
      <c r="AC43" s="307">
        <f t="shared" ref="AC43:AC53" si="77">AF43-Z43</f>
        <v>1102</v>
      </c>
      <c r="AD43" s="383">
        <f t="shared" ref="AD43:AD53" si="78">AG43-AA43</f>
        <v>1346</v>
      </c>
      <c r="AE43" s="225">
        <f t="shared" ref="AE43:AE53" si="79">ROUND(((AD43/AC43-1)*100), 1)</f>
        <v>22.1</v>
      </c>
      <c r="AF43" s="383">
        <v>5760</v>
      </c>
      <c r="AG43" s="383">
        <v>7403</v>
      </c>
      <c r="AH43" s="225">
        <f t="shared" ref="AH43:AH56" si="80">ROUND(((AG43/AF43-1)*100), 1)</f>
        <v>28.5</v>
      </c>
    </row>
    <row r="44" spans="1:34">
      <c r="A44" s="3" t="s">
        <v>114</v>
      </c>
      <c r="B44" s="75" t="s">
        <v>330</v>
      </c>
      <c r="C44" s="182">
        <v>4445</v>
      </c>
      <c r="D44" s="182">
        <v>8634</v>
      </c>
      <c r="E44" s="182">
        <v>9244</v>
      </c>
      <c r="F44" s="40">
        <v>7459</v>
      </c>
      <c r="G44" s="613">
        <v>8829</v>
      </c>
      <c r="H44" s="383">
        <v>910</v>
      </c>
      <c r="I44" s="620">
        <v>300</v>
      </c>
      <c r="J44" s="235">
        <f t="shared" si="64"/>
        <v>-67</v>
      </c>
      <c r="K44" s="307">
        <f t="shared" si="65"/>
        <v>1297</v>
      </c>
      <c r="L44" s="383">
        <f t="shared" si="66"/>
        <v>319</v>
      </c>
      <c r="M44" s="235">
        <f t="shared" si="67"/>
        <v>-75.400000000000006</v>
      </c>
      <c r="N44" s="383">
        <v>2207</v>
      </c>
      <c r="O44" s="383">
        <v>619</v>
      </c>
      <c r="P44" s="235">
        <f t="shared" si="68"/>
        <v>-72</v>
      </c>
      <c r="Q44" s="307">
        <f t="shared" si="69"/>
        <v>636</v>
      </c>
      <c r="R44" s="383">
        <f t="shared" si="70"/>
        <v>459</v>
      </c>
      <c r="S44" s="235">
        <f t="shared" si="71"/>
        <v>-27.8</v>
      </c>
      <c r="T44" s="383">
        <v>2843</v>
      </c>
      <c r="U44" s="383">
        <v>1078</v>
      </c>
      <c r="V44" s="235">
        <f t="shared" si="72"/>
        <v>-62.1</v>
      </c>
      <c r="W44" s="307">
        <f t="shared" si="73"/>
        <v>934</v>
      </c>
      <c r="X44" s="383">
        <f t="shared" si="74"/>
        <v>535</v>
      </c>
      <c r="Y44" s="235">
        <f t="shared" si="75"/>
        <v>-42.7</v>
      </c>
      <c r="Z44" s="620">
        <v>3777</v>
      </c>
      <c r="AA44" s="620">
        <v>1613</v>
      </c>
      <c r="AB44" s="235">
        <f t="shared" si="76"/>
        <v>-57.3</v>
      </c>
      <c r="AC44" s="307">
        <f t="shared" si="77"/>
        <v>523</v>
      </c>
      <c r="AD44" s="383">
        <f t="shared" si="78"/>
        <v>348</v>
      </c>
      <c r="AE44" s="235">
        <f t="shared" si="79"/>
        <v>-33.5</v>
      </c>
      <c r="AF44" s="383">
        <v>4300</v>
      </c>
      <c r="AG44" s="383">
        <v>1961</v>
      </c>
      <c r="AH44" s="235">
        <f t="shared" si="80"/>
        <v>-54.4</v>
      </c>
    </row>
    <row r="45" spans="1:34">
      <c r="A45" s="3"/>
      <c r="B45" s="75" t="s">
        <v>343</v>
      </c>
      <c r="C45" s="182">
        <v>6612</v>
      </c>
      <c r="D45" s="182">
        <v>8492</v>
      </c>
      <c r="E45" s="182">
        <v>9636</v>
      </c>
      <c r="F45" s="40">
        <v>8677</v>
      </c>
      <c r="G45" s="613">
        <v>6808</v>
      </c>
      <c r="H45" s="383">
        <v>586</v>
      </c>
      <c r="I45" s="620">
        <v>542</v>
      </c>
      <c r="J45" s="235">
        <f t="shared" si="64"/>
        <v>-7.5</v>
      </c>
      <c r="K45" s="307">
        <f t="shared" si="65"/>
        <v>601</v>
      </c>
      <c r="L45" s="383">
        <f t="shared" si="66"/>
        <v>508</v>
      </c>
      <c r="M45" s="235">
        <f t="shared" si="67"/>
        <v>-15.5</v>
      </c>
      <c r="N45" s="383">
        <v>1187</v>
      </c>
      <c r="O45" s="383">
        <v>1050</v>
      </c>
      <c r="P45" s="235">
        <f t="shared" si="68"/>
        <v>-11.5</v>
      </c>
      <c r="Q45" s="307">
        <f t="shared" si="69"/>
        <v>636</v>
      </c>
      <c r="R45" s="383">
        <f t="shared" si="70"/>
        <v>722</v>
      </c>
      <c r="S45" s="235">
        <f t="shared" si="71"/>
        <v>13.5</v>
      </c>
      <c r="T45" s="383">
        <v>1823</v>
      </c>
      <c r="U45" s="383">
        <v>1772</v>
      </c>
      <c r="V45" s="235">
        <f t="shared" si="72"/>
        <v>-2.8</v>
      </c>
      <c r="W45" s="307">
        <f t="shared" si="73"/>
        <v>599</v>
      </c>
      <c r="X45" s="383">
        <f t="shared" si="74"/>
        <v>590</v>
      </c>
      <c r="Y45" s="235">
        <f t="shared" si="75"/>
        <v>-1.5</v>
      </c>
      <c r="Z45" s="620">
        <v>2422</v>
      </c>
      <c r="AA45" s="620">
        <v>2362</v>
      </c>
      <c r="AB45" s="235">
        <f t="shared" si="76"/>
        <v>-2.5</v>
      </c>
      <c r="AC45" s="307">
        <f t="shared" si="77"/>
        <v>499</v>
      </c>
      <c r="AD45" s="383">
        <f t="shared" si="78"/>
        <v>794</v>
      </c>
      <c r="AE45" s="235">
        <f t="shared" si="79"/>
        <v>59.1</v>
      </c>
      <c r="AF45" s="383">
        <v>2921</v>
      </c>
      <c r="AG45" s="383">
        <v>3156</v>
      </c>
      <c r="AH45" s="235">
        <f t="shared" si="80"/>
        <v>8</v>
      </c>
    </row>
    <row r="46" spans="1:34">
      <c r="A46" s="3"/>
      <c r="B46" s="75" t="s">
        <v>351</v>
      </c>
      <c r="C46" s="182">
        <v>3032</v>
      </c>
      <c r="D46" s="182">
        <v>2693</v>
      </c>
      <c r="E46" s="182">
        <v>3470</v>
      </c>
      <c r="F46" s="40">
        <v>3847</v>
      </c>
      <c r="G46" s="613">
        <v>3275</v>
      </c>
      <c r="H46" s="383">
        <v>265</v>
      </c>
      <c r="I46" s="620">
        <v>186</v>
      </c>
      <c r="J46" s="235">
        <f t="shared" si="64"/>
        <v>-29.8</v>
      </c>
      <c r="K46" s="307">
        <f t="shared" si="65"/>
        <v>295</v>
      </c>
      <c r="L46" s="383">
        <f t="shared" si="66"/>
        <v>331</v>
      </c>
      <c r="M46" s="235">
        <f t="shared" si="67"/>
        <v>12.2</v>
      </c>
      <c r="N46" s="383">
        <v>560</v>
      </c>
      <c r="O46" s="383">
        <v>517</v>
      </c>
      <c r="P46" s="235">
        <f t="shared" si="68"/>
        <v>-7.7</v>
      </c>
      <c r="Q46" s="307">
        <f t="shared" si="69"/>
        <v>287</v>
      </c>
      <c r="R46" s="383">
        <f t="shared" si="70"/>
        <v>204</v>
      </c>
      <c r="S46" s="235">
        <f t="shared" si="71"/>
        <v>-28.9</v>
      </c>
      <c r="T46" s="383">
        <v>847</v>
      </c>
      <c r="U46" s="383">
        <v>721</v>
      </c>
      <c r="V46" s="235">
        <f t="shared" si="72"/>
        <v>-14.9</v>
      </c>
      <c r="W46" s="307">
        <f t="shared" si="73"/>
        <v>175</v>
      </c>
      <c r="X46" s="383">
        <f t="shared" si="74"/>
        <v>298</v>
      </c>
      <c r="Y46" s="235">
        <f t="shared" si="75"/>
        <v>70.3</v>
      </c>
      <c r="Z46" s="620">
        <v>1022</v>
      </c>
      <c r="AA46" s="620">
        <v>1019</v>
      </c>
      <c r="AB46" s="235">
        <f t="shared" si="76"/>
        <v>-0.3</v>
      </c>
      <c r="AC46" s="307">
        <f t="shared" si="77"/>
        <v>272</v>
      </c>
      <c r="AD46" s="383">
        <f t="shared" si="78"/>
        <v>355</v>
      </c>
      <c r="AE46" s="235">
        <f t="shared" si="79"/>
        <v>30.5</v>
      </c>
      <c r="AF46" s="383">
        <v>1294</v>
      </c>
      <c r="AG46" s="383">
        <v>1374</v>
      </c>
      <c r="AH46" s="235">
        <f t="shared" si="80"/>
        <v>6.2</v>
      </c>
    </row>
    <row r="47" spans="1:34">
      <c r="A47" s="3"/>
      <c r="B47" s="75" t="s">
        <v>329</v>
      </c>
      <c r="C47" s="182">
        <v>992</v>
      </c>
      <c r="D47" s="182">
        <v>1258</v>
      </c>
      <c r="E47" s="182">
        <v>1418</v>
      </c>
      <c r="F47" s="40">
        <v>2071</v>
      </c>
      <c r="G47" s="613">
        <v>2787</v>
      </c>
      <c r="H47" s="383">
        <v>167</v>
      </c>
      <c r="I47" s="620">
        <v>204</v>
      </c>
      <c r="J47" s="235">
        <f t="shared" si="64"/>
        <v>22.2</v>
      </c>
      <c r="K47" s="307">
        <f t="shared" si="65"/>
        <v>179</v>
      </c>
      <c r="L47" s="383">
        <f t="shared" si="66"/>
        <v>413</v>
      </c>
      <c r="M47" s="235">
        <f t="shared" si="67"/>
        <v>130.69999999999999</v>
      </c>
      <c r="N47" s="383">
        <v>346</v>
      </c>
      <c r="O47" s="383">
        <v>617</v>
      </c>
      <c r="P47" s="235">
        <f t="shared" si="68"/>
        <v>78.3</v>
      </c>
      <c r="Q47" s="307">
        <f t="shared" si="69"/>
        <v>236</v>
      </c>
      <c r="R47" s="383">
        <f t="shared" si="70"/>
        <v>319</v>
      </c>
      <c r="S47" s="235">
        <f t="shared" si="71"/>
        <v>35.200000000000003</v>
      </c>
      <c r="T47" s="383">
        <v>582</v>
      </c>
      <c r="U47" s="383">
        <v>936</v>
      </c>
      <c r="V47" s="235">
        <f t="shared" si="72"/>
        <v>60.8</v>
      </c>
      <c r="W47" s="307">
        <f t="shared" si="73"/>
        <v>510</v>
      </c>
      <c r="X47" s="383">
        <f t="shared" si="74"/>
        <v>235</v>
      </c>
      <c r="Y47" s="235">
        <f t="shared" si="75"/>
        <v>-53.9</v>
      </c>
      <c r="Z47" s="620">
        <v>1092</v>
      </c>
      <c r="AA47" s="620">
        <v>1171</v>
      </c>
      <c r="AB47" s="235">
        <f t="shared" si="76"/>
        <v>7.2</v>
      </c>
      <c r="AC47" s="307">
        <f t="shared" si="77"/>
        <v>277</v>
      </c>
      <c r="AD47" s="383">
        <f t="shared" si="78"/>
        <v>245</v>
      </c>
      <c r="AE47" s="235">
        <f t="shared" si="79"/>
        <v>-11.6</v>
      </c>
      <c r="AF47" s="383">
        <v>1369</v>
      </c>
      <c r="AG47" s="383">
        <v>1416</v>
      </c>
      <c r="AH47" s="235">
        <f t="shared" si="80"/>
        <v>3.4</v>
      </c>
    </row>
    <row r="48" spans="1:34">
      <c r="A48" s="3"/>
      <c r="B48" s="75" t="s">
        <v>49</v>
      </c>
      <c r="C48" s="182">
        <v>2589</v>
      </c>
      <c r="D48" s="182">
        <v>2380</v>
      </c>
      <c r="E48" s="182">
        <v>2855</v>
      </c>
      <c r="F48" s="40">
        <v>2265</v>
      </c>
      <c r="G48" s="613">
        <v>2605</v>
      </c>
      <c r="H48" s="383">
        <v>113</v>
      </c>
      <c r="I48" s="620">
        <v>556</v>
      </c>
      <c r="J48" s="235">
        <f t="shared" si="64"/>
        <v>392</v>
      </c>
      <c r="K48" s="307">
        <f t="shared" si="65"/>
        <v>100</v>
      </c>
      <c r="L48" s="383">
        <f t="shared" si="66"/>
        <v>522</v>
      </c>
      <c r="M48" s="235">
        <f t="shared" si="67"/>
        <v>422</v>
      </c>
      <c r="N48" s="383">
        <v>213</v>
      </c>
      <c r="O48" s="383">
        <v>1078</v>
      </c>
      <c r="P48" s="235">
        <f t="shared" si="68"/>
        <v>406.1</v>
      </c>
      <c r="Q48" s="307">
        <f t="shared" si="69"/>
        <v>169</v>
      </c>
      <c r="R48" s="383">
        <f t="shared" si="70"/>
        <v>236</v>
      </c>
      <c r="S48" s="235">
        <f t="shared" si="71"/>
        <v>39.6</v>
      </c>
      <c r="T48" s="383">
        <v>382</v>
      </c>
      <c r="U48" s="383">
        <v>1314</v>
      </c>
      <c r="V48" s="235">
        <f t="shared" si="72"/>
        <v>244</v>
      </c>
      <c r="W48" s="307">
        <f t="shared" si="73"/>
        <v>145</v>
      </c>
      <c r="X48" s="383">
        <f t="shared" si="74"/>
        <v>176</v>
      </c>
      <c r="Y48" s="235">
        <f t="shared" si="75"/>
        <v>21.4</v>
      </c>
      <c r="Z48" s="620">
        <v>527</v>
      </c>
      <c r="AA48" s="620">
        <v>1490</v>
      </c>
      <c r="AB48" s="235">
        <f t="shared" si="76"/>
        <v>182.7</v>
      </c>
      <c r="AC48" s="307">
        <f t="shared" si="77"/>
        <v>121</v>
      </c>
      <c r="AD48" s="383">
        <f t="shared" si="78"/>
        <v>153</v>
      </c>
      <c r="AE48" s="235">
        <f t="shared" si="79"/>
        <v>26.4</v>
      </c>
      <c r="AF48" s="383">
        <v>648</v>
      </c>
      <c r="AG48" s="383">
        <v>1643</v>
      </c>
      <c r="AH48" s="235">
        <f t="shared" si="80"/>
        <v>153.5</v>
      </c>
    </row>
    <row r="49" spans="1:34">
      <c r="A49" s="3"/>
      <c r="B49" s="75" t="s">
        <v>353</v>
      </c>
      <c r="C49" s="182">
        <v>327</v>
      </c>
      <c r="D49" s="182">
        <v>486</v>
      </c>
      <c r="E49" s="182">
        <v>982</v>
      </c>
      <c r="F49" s="40">
        <v>1129</v>
      </c>
      <c r="G49" s="613">
        <v>2230</v>
      </c>
      <c r="H49" s="383">
        <v>237</v>
      </c>
      <c r="I49" s="620">
        <v>125</v>
      </c>
      <c r="J49" s="235">
        <f t="shared" si="64"/>
        <v>-47.3</v>
      </c>
      <c r="K49" s="307">
        <f t="shared" si="65"/>
        <v>133</v>
      </c>
      <c r="L49" s="383">
        <f t="shared" si="66"/>
        <v>118</v>
      </c>
      <c r="M49" s="235">
        <f t="shared" si="67"/>
        <v>-11.3</v>
      </c>
      <c r="N49" s="383">
        <v>370</v>
      </c>
      <c r="O49" s="383">
        <v>243</v>
      </c>
      <c r="P49" s="235">
        <f t="shared" si="68"/>
        <v>-34.299999999999997</v>
      </c>
      <c r="Q49" s="307">
        <f t="shared" si="69"/>
        <v>189</v>
      </c>
      <c r="R49" s="383">
        <f t="shared" si="70"/>
        <v>142</v>
      </c>
      <c r="S49" s="235">
        <f t="shared" si="71"/>
        <v>-24.9</v>
      </c>
      <c r="T49" s="383">
        <v>559</v>
      </c>
      <c r="U49" s="383">
        <v>385</v>
      </c>
      <c r="V49" s="235">
        <f t="shared" si="72"/>
        <v>-31.1</v>
      </c>
      <c r="W49" s="307">
        <f t="shared" si="73"/>
        <v>20</v>
      </c>
      <c r="X49" s="383">
        <f t="shared" si="74"/>
        <v>194</v>
      </c>
      <c r="Y49" s="235">
        <f t="shared" si="75"/>
        <v>870</v>
      </c>
      <c r="Z49" s="620">
        <v>579</v>
      </c>
      <c r="AA49" s="620">
        <v>579</v>
      </c>
      <c r="AB49" s="571">
        <f t="shared" si="76"/>
        <v>0</v>
      </c>
      <c r="AC49" s="307">
        <f t="shared" si="77"/>
        <v>182</v>
      </c>
      <c r="AD49" s="383">
        <f t="shared" si="78"/>
        <v>159</v>
      </c>
      <c r="AE49" s="235">
        <f t="shared" si="79"/>
        <v>-12.6</v>
      </c>
      <c r="AF49" s="383">
        <v>761</v>
      </c>
      <c r="AG49" s="383">
        <v>738</v>
      </c>
      <c r="AH49" s="235">
        <f t="shared" si="80"/>
        <v>-3</v>
      </c>
    </row>
    <row r="50" spans="1:34">
      <c r="A50" s="3"/>
      <c r="B50" s="75" t="s">
        <v>334</v>
      </c>
      <c r="C50" s="182">
        <v>2300</v>
      </c>
      <c r="D50" s="182">
        <v>2243</v>
      </c>
      <c r="E50" s="182">
        <v>2147</v>
      </c>
      <c r="F50" s="40">
        <v>1866</v>
      </c>
      <c r="G50" s="613">
        <v>2204</v>
      </c>
      <c r="H50" s="383">
        <v>84</v>
      </c>
      <c r="I50" s="620">
        <v>237</v>
      </c>
      <c r="J50" s="571">
        <f t="shared" si="64"/>
        <v>182.1</v>
      </c>
      <c r="K50" s="307">
        <f t="shared" si="65"/>
        <v>80</v>
      </c>
      <c r="L50" s="383">
        <f t="shared" si="66"/>
        <v>324</v>
      </c>
      <c r="M50" s="235">
        <f t="shared" si="67"/>
        <v>305</v>
      </c>
      <c r="N50" s="383">
        <v>164</v>
      </c>
      <c r="O50" s="383">
        <v>561</v>
      </c>
      <c r="P50" s="235">
        <f t="shared" si="68"/>
        <v>242.1</v>
      </c>
      <c r="Q50" s="307">
        <f t="shared" si="69"/>
        <v>206</v>
      </c>
      <c r="R50" s="383">
        <f t="shared" si="70"/>
        <v>250</v>
      </c>
      <c r="S50" s="235">
        <f t="shared" si="71"/>
        <v>21.4</v>
      </c>
      <c r="T50" s="383">
        <v>370</v>
      </c>
      <c r="U50" s="383">
        <v>811</v>
      </c>
      <c r="V50" s="235">
        <f t="shared" si="72"/>
        <v>119.2</v>
      </c>
      <c r="W50" s="307">
        <f t="shared" si="73"/>
        <v>181</v>
      </c>
      <c r="X50" s="383">
        <f t="shared" si="74"/>
        <v>266</v>
      </c>
      <c r="Y50" s="235">
        <f t="shared" si="75"/>
        <v>47</v>
      </c>
      <c r="Z50" s="620">
        <v>551</v>
      </c>
      <c r="AA50" s="620">
        <v>1077</v>
      </c>
      <c r="AB50" s="571">
        <f t="shared" si="76"/>
        <v>95.5</v>
      </c>
      <c r="AC50" s="307">
        <f t="shared" si="77"/>
        <v>141</v>
      </c>
      <c r="AD50" s="383">
        <f t="shared" si="78"/>
        <v>294</v>
      </c>
      <c r="AE50" s="235">
        <f t="shared" si="79"/>
        <v>108.5</v>
      </c>
      <c r="AF50" s="383">
        <v>692</v>
      </c>
      <c r="AG50" s="383">
        <v>1371</v>
      </c>
      <c r="AH50" s="235">
        <f t="shared" si="80"/>
        <v>98.1</v>
      </c>
    </row>
    <row r="51" spans="1:34">
      <c r="A51" s="3"/>
      <c r="B51" s="75" t="s">
        <v>336</v>
      </c>
      <c r="C51" s="182">
        <v>1184</v>
      </c>
      <c r="D51" s="182">
        <v>2224</v>
      </c>
      <c r="E51" s="182">
        <v>2073</v>
      </c>
      <c r="F51" s="40">
        <v>1662</v>
      </c>
      <c r="G51" s="613">
        <v>1742</v>
      </c>
      <c r="H51" s="383">
        <v>47</v>
      </c>
      <c r="I51" s="620">
        <v>180</v>
      </c>
      <c r="J51" s="571">
        <f t="shared" si="64"/>
        <v>283</v>
      </c>
      <c r="K51" s="307">
        <f t="shared" si="65"/>
        <v>193</v>
      </c>
      <c r="L51" s="383">
        <f t="shared" si="66"/>
        <v>266</v>
      </c>
      <c r="M51" s="235">
        <f t="shared" si="67"/>
        <v>37.799999999999997</v>
      </c>
      <c r="N51" s="383">
        <v>240</v>
      </c>
      <c r="O51" s="383">
        <v>446</v>
      </c>
      <c r="P51" s="235">
        <f t="shared" si="68"/>
        <v>85.8</v>
      </c>
      <c r="Q51" s="307">
        <f t="shared" si="69"/>
        <v>185</v>
      </c>
      <c r="R51" s="383">
        <f t="shared" si="70"/>
        <v>195</v>
      </c>
      <c r="S51" s="571">
        <f t="shared" si="71"/>
        <v>5.4</v>
      </c>
      <c r="T51" s="383">
        <v>425</v>
      </c>
      <c r="U51" s="383">
        <v>641</v>
      </c>
      <c r="V51" s="571">
        <f t="shared" si="72"/>
        <v>50.8</v>
      </c>
      <c r="W51" s="307">
        <f t="shared" si="73"/>
        <v>76</v>
      </c>
      <c r="X51" s="383">
        <f t="shared" si="74"/>
        <v>295</v>
      </c>
      <c r="Y51" s="235">
        <f t="shared" si="75"/>
        <v>288.2</v>
      </c>
      <c r="Z51" s="620">
        <v>501</v>
      </c>
      <c r="AA51" s="620">
        <v>936</v>
      </c>
      <c r="AB51" s="571">
        <f t="shared" si="76"/>
        <v>86.8</v>
      </c>
      <c r="AC51" s="307">
        <f t="shared" si="77"/>
        <v>174</v>
      </c>
      <c r="AD51" s="383">
        <f t="shared" si="78"/>
        <v>202</v>
      </c>
      <c r="AE51" s="235">
        <f t="shared" si="79"/>
        <v>16.100000000000001</v>
      </c>
      <c r="AF51" s="383">
        <v>675</v>
      </c>
      <c r="AG51" s="383">
        <v>1138</v>
      </c>
      <c r="AH51" s="235">
        <f t="shared" si="80"/>
        <v>68.599999999999994</v>
      </c>
    </row>
    <row r="52" spans="1:34">
      <c r="A52" s="3"/>
      <c r="B52" s="75" t="s">
        <v>352</v>
      </c>
      <c r="C52" s="182">
        <v>81</v>
      </c>
      <c r="D52" s="182">
        <v>449</v>
      </c>
      <c r="E52" s="182">
        <v>1633</v>
      </c>
      <c r="F52" s="40">
        <v>812</v>
      </c>
      <c r="G52" s="613">
        <v>1494</v>
      </c>
      <c r="H52" s="383">
        <v>92</v>
      </c>
      <c r="I52" s="620">
        <v>0</v>
      </c>
      <c r="J52" s="571">
        <f t="shared" si="64"/>
        <v>-100</v>
      </c>
      <c r="K52" s="307">
        <f t="shared" si="65"/>
        <v>70</v>
      </c>
      <c r="L52" s="383">
        <f t="shared" si="66"/>
        <v>0</v>
      </c>
      <c r="M52" s="235">
        <f t="shared" si="67"/>
        <v>-100</v>
      </c>
      <c r="N52" s="383">
        <v>162</v>
      </c>
      <c r="O52" s="383">
        <v>0</v>
      </c>
      <c r="P52" s="235">
        <f t="shared" si="68"/>
        <v>-100</v>
      </c>
      <c r="Q52" s="307">
        <f t="shared" si="69"/>
        <v>154</v>
      </c>
      <c r="R52" s="383">
        <f t="shared" si="70"/>
        <v>0</v>
      </c>
      <c r="S52" s="571">
        <f t="shared" si="71"/>
        <v>-100</v>
      </c>
      <c r="T52" s="383">
        <v>316</v>
      </c>
      <c r="U52" s="383">
        <v>0</v>
      </c>
      <c r="V52" s="571">
        <f t="shared" si="72"/>
        <v>-100</v>
      </c>
      <c r="W52" s="307">
        <f t="shared" si="73"/>
        <v>148</v>
      </c>
      <c r="X52" s="383">
        <f t="shared" si="74"/>
        <v>0</v>
      </c>
      <c r="Y52" s="571">
        <f t="shared" si="75"/>
        <v>-100</v>
      </c>
      <c r="Z52" s="620">
        <v>464</v>
      </c>
      <c r="AA52" s="620">
        <v>0</v>
      </c>
      <c r="AB52" s="571">
        <f t="shared" si="76"/>
        <v>-100</v>
      </c>
      <c r="AC52" s="307">
        <f t="shared" si="77"/>
        <v>157</v>
      </c>
      <c r="AD52" s="383">
        <f t="shared" si="78"/>
        <v>39</v>
      </c>
      <c r="AE52" s="235">
        <f t="shared" si="79"/>
        <v>-75.2</v>
      </c>
      <c r="AF52" s="383">
        <v>621</v>
      </c>
      <c r="AG52" s="383">
        <v>39</v>
      </c>
      <c r="AH52" s="235">
        <f t="shared" si="80"/>
        <v>-93.7</v>
      </c>
    </row>
    <row r="53" spans="1:34">
      <c r="A53" s="3"/>
      <c r="B53" s="75" t="s">
        <v>331</v>
      </c>
      <c r="C53" s="182">
        <v>1226</v>
      </c>
      <c r="D53" s="182">
        <v>1457</v>
      </c>
      <c r="E53" s="182">
        <v>1450</v>
      </c>
      <c r="F53" s="40">
        <v>1317</v>
      </c>
      <c r="G53" s="613">
        <v>1381</v>
      </c>
      <c r="H53" s="383">
        <v>125</v>
      </c>
      <c r="I53" s="620">
        <v>112</v>
      </c>
      <c r="J53" s="571">
        <f t="shared" si="64"/>
        <v>-10.4</v>
      </c>
      <c r="K53" s="307">
        <f t="shared" si="65"/>
        <v>46</v>
      </c>
      <c r="L53" s="383">
        <f t="shared" si="66"/>
        <v>112</v>
      </c>
      <c r="M53" s="235">
        <f t="shared" si="67"/>
        <v>143.5</v>
      </c>
      <c r="N53" s="383">
        <v>171</v>
      </c>
      <c r="O53" s="383">
        <v>224</v>
      </c>
      <c r="P53" s="235">
        <f t="shared" si="68"/>
        <v>31</v>
      </c>
      <c r="Q53" s="307">
        <f t="shared" si="69"/>
        <v>146</v>
      </c>
      <c r="R53" s="383">
        <f t="shared" si="70"/>
        <v>179</v>
      </c>
      <c r="S53" s="571">
        <f t="shared" si="71"/>
        <v>22.6</v>
      </c>
      <c r="T53" s="383">
        <v>317</v>
      </c>
      <c r="U53" s="383">
        <v>403</v>
      </c>
      <c r="V53" s="571">
        <f t="shared" si="72"/>
        <v>27.1</v>
      </c>
      <c r="W53" s="307">
        <f t="shared" si="73"/>
        <v>110</v>
      </c>
      <c r="X53" s="383">
        <f t="shared" si="74"/>
        <v>117</v>
      </c>
      <c r="Y53" s="571">
        <f t="shared" si="75"/>
        <v>6.4</v>
      </c>
      <c r="Z53" s="620">
        <v>427</v>
      </c>
      <c r="AA53" s="620">
        <v>520</v>
      </c>
      <c r="AB53" s="571">
        <f t="shared" si="76"/>
        <v>21.8</v>
      </c>
      <c r="AC53" s="307">
        <f t="shared" si="77"/>
        <v>87</v>
      </c>
      <c r="AD53" s="383">
        <f t="shared" si="78"/>
        <v>110</v>
      </c>
      <c r="AE53" s="235">
        <f t="shared" si="79"/>
        <v>26.4</v>
      </c>
      <c r="AF53" s="383">
        <v>514</v>
      </c>
      <c r="AG53" s="383">
        <v>630</v>
      </c>
      <c r="AH53" s="235">
        <f t="shared" si="80"/>
        <v>22.6</v>
      </c>
    </row>
    <row r="54" spans="1:34">
      <c r="A54" s="3"/>
      <c r="B54" s="75" t="s">
        <v>340</v>
      </c>
      <c r="C54" s="182">
        <v>906</v>
      </c>
      <c r="D54" s="182">
        <v>1375</v>
      </c>
      <c r="E54" s="182">
        <v>1067</v>
      </c>
      <c r="F54" s="40">
        <v>873</v>
      </c>
      <c r="G54" s="613">
        <v>828</v>
      </c>
      <c r="H54" s="383">
        <v>55</v>
      </c>
      <c r="I54" s="620">
        <v>54</v>
      </c>
      <c r="J54" s="571">
        <f t="shared" si="64"/>
        <v>-1.8</v>
      </c>
      <c r="K54" s="307">
        <f t="shared" si="65"/>
        <v>84</v>
      </c>
      <c r="L54" s="383">
        <f t="shared" si="66"/>
        <v>29</v>
      </c>
      <c r="M54" s="235">
        <f t="shared" si="67"/>
        <v>-65.5</v>
      </c>
      <c r="N54" s="383">
        <v>139</v>
      </c>
      <c r="O54" s="383">
        <v>83</v>
      </c>
      <c r="P54" s="235">
        <f t="shared" si="68"/>
        <v>-40.299999999999997</v>
      </c>
      <c r="Q54" s="307">
        <f t="shared" si="69"/>
        <v>28</v>
      </c>
      <c r="R54" s="383">
        <f t="shared" si="70"/>
        <v>115</v>
      </c>
      <c r="S54" s="571">
        <f t="shared" si="71"/>
        <v>310.7</v>
      </c>
      <c r="T54" s="383">
        <v>167</v>
      </c>
      <c r="U54" s="383">
        <v>198</v>
      </c>
      <c r="V54" s="571">
        <f t="shared" si="72"/>
        <v>18.600000000000001</v>
      </c>
      <c r="W54" s="307">
        <f t="shared" si="73"/>
        <v>71</v>
      </c>
      <c r="X54" s="383">
        <f t="shared" si="74"/>
        <v>88</v>
      </c>
      <c r="Y54" s="571">
        <f t="shared" si="75"/>
        <v>23.9</v>
      </c>
      <c r="Z54" s="620">
        <v>238</v>
      </c>
      <c r="AA54" s="620">
        <v>286</v>
      </c>
      <c r="AB54" s="571">
        <f t="shared" si="76"/>
        <v>20.2</v>
      </c>
      <c r="AC54" s="483">
        <f t="shared" ref="AC54:AC62" si="81">AF54-Z54</f>
        <v>63</v>
      </c>
      <c r="AD54" s="383">
        <f t="shared" ref="AD54:AD62" si="82">AG54-AA54</f>
        <v>71</v>
      </c>
      <c r="AE54" s="571">
        <f t="shared" ref="AE54:AE60" si="83">ROUND(((AD54/AC54-1)*100), 1)</f>
        <v>12.7</v>
      </c>
      <c r="AF54" s="383">
        <v>301</v>
      </c>
      <c r="AG54" s="383">
        <v>357</v>
      </c>
      <c r="AH54" s="235">
        <f t="shared" si="80"/>
        <v>18.600000000000001</v>
      </c>
    </row>
    <row r="55" spans="1:34">
      <c r="A55" s="3"/>
      <c r="B55" s="75" t="s">
        <v>335</v>
      </c>
      <c r="C55" s="182">
        <v>976</v>
      </c>
      <c r="D55" s="182">
        <v>933</v>
      </c>
      <c r="E55" s="182">
        <v>807</v>
      </c>
      <c r="F55" s="40">
        <v>727</v>
      </c>
      <c r="G55" s="613">
        <v>821</v>
      </c>
      <c r="H55" s="383">
        <v>120</v>
      </c>
      <c r="I55" s="620">
        <v>60</v>
      </c>
      <c r="J55" s="571">
        <f t="shared" si="64"/>
        <v>-50</v>
      </c>
      <c r="K55" s="307">
        <f t="shared" si="65"/>
        <v>69</v>
      </c>
      <c r="L55" s="383">
        <f t="shared" si="66"/>
        <v>0</v>
      </c>
      <c r="M55" s="235">
        <f t="shared" si="67"/>
        <v>-100</v>
      </c>
      <c r="N55" s="383">
        <v>189</v>
      </c>
      <c r="O55" s="383">
        <v>60</v>
      </c>
      <c r="P55" s="235">
        <f t="shared" si="68"/>
        <v>-68.3</v>
      </c>
      <c r="Q55" s="307">
        <f t="shared" si="69"/>
        <v>215</v>
      </c>
      <c r="R55" s="383">
        <f t="shared" si="70"/>
        <v>3</v>
      </c>
      <c r="S55" s="571">
        <f t="shared" si="71"/>
        <v>-98.6</v>
      </c>
      <c r="T55" s="383">
        <v>404</v>
      </c>
      <c r="U55" s="383">
        <v>63</v>
      </c>
      <c r="V55" s="571">
        <f t="shared" si="72"/>
        <v>-84.4</v>
      </c>
      <c r="W55" s="307">
        <f t="shared" si="73"/>
        <v>44</v>
      </c>
      <c r="X55" s="383">
        <f t="shared" si="74"/>
        <v>86</v>
      </c>
      <c r="Y55" s="571">
        <f t="shared" si="75"/>
        <v>95.5</v>
      </c>
      <c r="Z55" s="620">
        <v>448</v>
      </c>
      <c r="AA55" s="620">
        <v>149</v>
      </c>
      <c r="AB55" s="571">
        <f t="shared" si="76"/>
        <v>-66.7</v>
      </c>
      <c r="AC55" s="483">
        <f t="shared" si="81"/>
        <v>7</v>
      </c>
      <c r="AD55" s="383">
        <f t="shared" si="82"/>
        <v>21</v>
      </c>
      <c r="AE55" s="571">
        <f t="shared" si="83"/>
        <v>200</v>
      </c>
      <c r="AF55" s="383">
        <v>455</v>
      </c>
      <c r="AG55" s="383">
        <v>170</v>
      </c>
      <c r="AH55" s="235">
        <f t="shared" si="80"/>
        <v>-62.6</v>
      </c>
    </row>
    <row r="56" spans="1:34" s="605" customFormat="1">
      <c r="A56" s="675"/>
      <c r="B56" s="75" t="s">
        <v>512</v>
      </c>
      <c r="C56" s="613">
        <v>0</v>
      </c>
      <c r="D56" s="613">
        <v>0</v>
      </c>
      <c r="E56" s="613">
        <v>41</v>
      </c>
      <c r="F56" s="608">
        <v>39</v>
      </c>
      <c r="G56" s="613">
        <v>503</v>
      </c>
      <c r="H56" s="383">
        <v>0</v>
      </c>
      <c r="I56" s="620">
        <v>0</v>
      </c>
      <c r="J56" s="579">
        <v>0</v>
      </c>
      <c r="K56" s="483">
        <f t="shared" ref="K56" si="84">N56-H56</f>
        <v>0</v>
      </c>
      <c r="L56" s="383">
        <f t="shared" ref="L56" si="85">O56-I56</f>
        <v>40</v>
      </c>
      <c r="M56" s="579">
        <v>0</v>
      </c>
      <c r="N56" s="383">
        <v>0</v>
      </c>
      <c r="O56" s="383">
        <v>40</v>
      </c>
      <c r="P56" s="579">
        <v>0</v>
      </c>
      <c r="Q56" s="483">
        <f t="shared" ref="Q56:Q62" si="86">T56-N56</f>
        <v>41</v>
      </c>
      <c r="R56" s="383">
        <f t="shared" ref="R56:R62" si="87">U56-O56</f>
        <v>78</v>
      </c>
      <c r="S56" s="571">
        <f t="shared" si="71"/>
        <v>90.2</v>
      </c>
      <c r="T56" s="383">
        <v>41</v>
      </c>
      <c r="U56" s="383">
        <v>118</v>
      </c>
      <c r="V56" s="571">
        <f t="shared" si="72"/>
        <v>187.8</v>
      </c>
      <c r="W56" s="483"/>
      <c r="X56" s="383"/>
      <c r="Y56" s="579">
        <v>0</v>
      </c>
      <c r="Z56" s="620">
        <v>100</v>
      </c>
      <c r="AA56" s="620">
        <v>177</v>
      </c>
      <c r="AB56" s="571">
        <f t="shared" si="76"/>
        <v>77</v>
      </c>
      <c r="AC56" s="483">
        <f t="shared" si="81"/>
        <v>61</v>
      </c>
      <c r="AD56" s="383">
        <f t="shared" si="82"/>
        <v>0</v>
      </c>
      <c r="AE56" s="571">
        <f t="shared" si="83"/>
        <v>-100</v>
      </c>
      <c r="AF56" s="383">
        <v>161</v>
      </c>
      <c r="AG56" s="383">
        <v>177</v>
      </c>
      <c r="AH56" s="571">
        <f t="shared" si="80"/>
        <v>9.9</v>
      </c>
    </row>
    <row r="57" spans="1:34">
      <c r="A57" s="3"/>
      <c r="B57" s="75" t="s">
        <v>355</v>
      </c>
      <c r="C57" s="182">
        <v>450</v>
      </c>
      <c r="D57" s="182">
        <v>520</v>
      </c>
      <c r="E57" s="182">
        <v>437</v>
      </c>
      <c r="F57" s="40">
        <v>394</v>
      </c>
      <c r="G57" s="613">
        <v>375</v>
      </c>
      <c r="H57" s="383">
        <v>20</v>
      </c>
      <c r="I57" s="620">
        <v>21</v>
      </c>
      <c r="J57" s="571">
        <f t="shared" si="64"/>
        <v>5</v>
      </c>
      <c r="K57" s="307">
        <f t="shared" ref="K57:L62" si="88">N57-H57</f>
        <v>41</v>
      </c>
      <c r="L57" s="383">
        <f t="shared" si="88"/>
        <v>20</v>
      </c>
      <c r="M57" s="235">
        <f>ROUND(((L57/K57-1)*100), 1)</f>
        <v>-51.2</v>
      </c>
      <c r="N57" s="383">
        <v>61</v>
      </c>
      <c r="O57" s="383">
        <v>41</v>
      </c>
      <c r="P57" s="235">
        <f t="shared" ref="P57:P67" si="89">ROUND(((O57/N57-1)*100), 1)</f>
        <v>-32.799999999999997</v>
      </c>
      <c r="Q57" s="483">
        <f t="shared" si="86"/>
        <v>44</v>
      </c>
      <c r="R57" s="383">
        <f t="shared" si="87"/>
        <v>43</v>
      </c>
      <c r="S57" s="571">
        <f t="shared" ref="S57:S61" si="90">ROUND(((R57/Q57-1)*100), 1)</f>
        <v>-2.2999999999999998</v>
      </c>
      <c r="T57" s="383">
        <v>105</v>
      </c>
      <c r="U57" s="383">
        <v>84</v>
      </c>
      <c r="V57" s="235">
        <f>ROUND(((U57/T57-1)*100), 1)</f>
        <v>-20</v>
      </c>
      <c r="W57" s="307">
        <f t="shared" ref="W57:X62" si="91">Z57-T57</f>
        <v>22</v>
      </c>
      <c r="X57" s="383">
        <f t="shared" si="91"/>
        <v>41</v>
      </c>
      <c r="Y57" s="571">
        <f t="shared" si="75"/>
        <v>86.4</v>
      </c>
      <c r="Z57" s="620">
        <v>127</v>
      </c>
      <c r="AA57" s="620">
        <v>125</v>
      </c>
      <c r="AB57" s="571">
        <f t="shared" si="76"/>
        <v>-1.6</v>
      </c>
      <c r="AC57" s="483">
        <f t="shared" si="81"/>
        <v>20</v>
      </c>
      <c r="AD57" s="383">
        <f t="shared" si="82"/>
        <v>20</v>
      </c>
      <c r="AE57" s="571">
        <f t="shared" si="83"/>
        <v>0</v>
      </c>
      <c r="AF57" s="383">
        <v>147</v>
      </c>
      <c r="AG57" s="383">
        <v>145</v>
      </c>
      <c r="AH57" s="235">
        <f t="shared" ref="AH57:AH62" si="92">ROUND(((AG57/AF57-1)*100), 1)</f>
        <v>-1.4</v>
      </c>
    </row>
    <row r="58" spans="1:34">
      <c r="A58" s="3"/>
      <c r="B58" s="75" t="s">
        <v>354</v>
      </c>
      <c r="C58" s="182">
        <v>300</v>
      </c>
      <c r="D58" s="182">
        <v>478</v>
      </c>
      <c r="E58" s="182">
        <v>514</v>
      </c>
      <c r="F58" s="40">
        <v>473</v>
      </c>
      <c r="G58" s="613">
        <v>319</v>
      </c>
      <c r="H58" s="383">
        <v>18</v>
      </c>
      <c r="I58" s="620">
        <v>8</v>
      </c>
      <c r="J58" s="571">
        <f t="shared" si="64"/>
        <v>-55.6</v>
      </c>
      <c r="K58" s="307">
        <f t="shared" si="88"/>
        <v>27</v>
      </c>
      <c r="L58" s="383">
        <f t="shared" si="88"/>
        <v>36</v>
      </c>
      <c r="M58" s="235">
        <f>ROUND(((L58/K58-1)*100), 1)</f>
        <v>33.299999999999997</v>
      </c>
      <c r="N58" s="383">
        <v>45</v>
      </c>
      <c r="O58" s="383">
        <v>44</v>
      </c>
      <c r="P58" s="235">
        <f t="shared" si="89"/>
        <v>-2.2000000000000002</v>
      </c>
      <c r="Q58" s="483">
        <f t="shared" si="86"/>
        <v>16</v>
      </c>
      <c r="R58" s="383">
        <f t="shared" si="87"/>
        <v>19</v>
      </c>
      <c r="S58" s="571">
        <f t="shared" si="90"/>
        <v>18.8</v>
      </c>
      <c r="T58" s="383">
        <v>61</v>
      </c>
      <c r="U58" s="383">
        <v>63</v>
      </c>
      <c r="V58" s="235">
        <f>ROUND(((U58/T58-1)*100), 1)</f>
        <v>3.3</v>
      </c>
      <c r="W58" s="307">
        <f t="shared" si="91"/>
        <v>23</v>
      </c>
      <c r="X58" s="383">
        <f t="shared" si="91"/>
        <v>62</v>
      </c>
      <c r="Y58" s="571">
        <f t="shared" si="75"/>
        <v>169.6</v>
      </c>
      <c r="Z58" s="620">
        <v>84</v>
      </c>
      <c r="AA58" s="620">
        <v>125</v>
      </c>
      <c r="AB58" s="571">
        <f t="shared" si="76"/>
        <v>48.8</v>
      </c>
      <c r="AC58" s="483">
        <f t="shared" si="81"/>
        <v>14</v>
      </c>
      <c r="AD58" s="383">
        <f t="shared" si="82"/>
        <v>12</v>
      </c>
      <c r="AE58" s="571">
        <f t="shared" si="83"/>
        <v>-14.3</v>
      </c>
      <c r="AF58" s="383">
        <v>98</v>
      </c>
      <c r="AG58" s="383">
        <v>137</v>
      </c>
      <c r="AH58" s="235">
        <f t="shared" si="92"/>
        <v>39.799999999999997</v>
      </c>
    </row>
    <row r="59" spans="1:34">
      <c r="A59" s="3"/>
      <c r="B59" s="75" t="s">
        <v>65</v>
      </c>
      <c r="C59" s="182">
        <v>419</v>
      </c>
      <c r="D59" s="182">
        <v>445</v>
      </c>
      <c r="E59" s="182">
        <v>441</v>
      </c>
      <c r="F59" s="40">
        <v>425</v>
      </c>
      <c r="G59" s="613">
        <v>297</v>
      </c>
      <c r="H59" s="383">
        <v>45</v>
      </c>
      <c r="I59" s="620">
        <v>40</v>
      </c>
      <c r="J59" s="571">
        <f t="shared" si="64"/>
        <v>-11.1</v>
      </c>
      <c r="K59" s="307">
        <f t="shared" si="88"/>
        <v>37</v>
      </c>
      <c r="L59" s="383">
        <f t="shared" si="88"/>
        <v>29</v>
      </c>
      <c r="M59" s="235">
        <f>ROUND(((L59/K59-1)*100), 1)</f>
        <v>-21.6</v>
      </c>
      <c r="N59" s="383">
        <v>82</v>
      </c>
      <c r="O59" s="383">
        <v>69</v>
      </c>
      <c r="P59" s="235">
        <f t="shared" si="89"/>
        <v>-15.9</v>
      </c>
      <c r="Q59" s="483">
        <f t="shared" si="86"/>
        <v>30</v>
      </c>
      <c r="R59" s="383">
        <f t="shared" si="87"/>
        <v>19</v>
      </c>
      <c r="S59" s="571">
        <f t="shared" si="90"/>
        <v>-36.700000000000003</v>
      </c>
      <c r="T59" s="383">
        <v>112</v>
      </c>
      <c r="U59" s="383">
        <v>88</v>
      </c>
      <c r="V59" s="235">
        <f>ROUND(((U59/T59-1)*100), 1)</f>
        <v>-21.4</v>
      </c>
      <c r="W59" s="307">
        <f t="shared" si="91"/>
        <v>37</v>
      </c>
      <c r="X59" s="383">
        <f t="shared" si="91"/>
        <v>28</v>
      </c>
      <c r="Y59" s="571">
        <f t="shared" si="75"/>
        <v>-24.3</v>
      </c>
      <c r="Z59" s="620">
        <v>149</v>
      </c>
      <c r="AA59" s="620">
        <v>116</v>
      </c>
      <c r="AB59" s="571">
        <f t="shared" si="76"/>
        <v>-22.1</v>
      </c>
      <c r="AC59" s="483">
        <f t="shared" si="81"/>
        <v>38</v>
      </c>
      <c r="AD59" s="383">
        <f t="shared" si="82"/>
        <v>17</v>
      </c>
      <c r="AE59" s="571">
        <f t="shared" si="83"/>
        <v>-55.3</v>
      </c>
      <c r="AF59" s="383">
        <v>187</v>
      </c>
      <c r="AG59" s="383">
        <v>133</v>
      </c>
      <c r="AH59" s="235">
        <f t="shared" si="92"/>
        <v>-28.9</v>
      </c>
    </row>
    <row r="60" spans="1:34">
      <c r="A60" s="3"/>
      <c r="B60" s="75" t="s">
        <v>357</v>
      </c>
      <c r="C60" s="182">
        <v>28</v>
      </c>
      <c r="D60" s="182">
        <v>79</v>
      </c>
      <c r="E60" s="182">
        <v>65</v>
      </c>
      <c r="F60" s="40">
        <v>182</v>
      </c>
      <c r="G60" s="613">
        <v>89</v>
      </c>
      <c r="H60" s="383">
        <v>0</v>
      </c>
      <c r="I60" s="620">
        <v>8</v>
      </c>
      <c r="J60" s="579">
        <v>0</v>
      </c>
      <c r="K60" s="307">
        <f t="shared" si="88"/>
        <v>5</v>
      </c>
      <c r="L60" s="383">
        <f t="shared" si="88"/>
        <v>18</v>
      </c>
      <c r="M60" s="571">
        <f t="shared" ref="M60:M61" si="93">ROUND(((L60/K60-1)*100), 1)</f>
        <v>260</v>
      </c>
      <c r="N60" s="383">
        <v>5</v>
      </c>
      <c r="O60" s="383">
        <v>26</v>
      </c>
      <c r="P60" s="571">
        <f t="shared" si="89"/>
        <v>420</v>
      </c>
      <c r="Q60" s="483">
        <f t="shared" si="86"/>
        <v>8</v>
      </c>
      <c r="R60" s="383">
        <f t="shared" si="87"/>
        <v>23</v>
      </c>
      <c r="S60" s="571">
        <f t="shared" si="90"/>
        <v>187.5</v>
      </c>
      <c r="T60" s="383">
        <v>13</v>
      </c>
      <c r="U60" s="383">
        <v>49</v>
      </c>
      <c r="V60" s="235">
        <f>ROUND(((U60/T60-1)*100), 1)</f>
        <v>276.89999999999998</v>
      </c>
      <c r="W60" s="307">
        <f t="shared" si="91"/>
        <v>3</v>
      </c>
      <c r="X60" s="383">
        <f t="shared" si="91"/>
        <v>20</v>
      </c>
      <c r="Y60" s="571">
        <f t="shared" si="75"/>
        <v>566.70000000000005</v>
      </c>
      <c r="Z60" s="620">
        <v>16</v>
      </c>
      <c r="AA60" s="620">
        <v>69</v>
      </c>
      <c r="AB60" s="571">
        <f t="shared" si="76"/>
        <v>331.3</v>
      </c>
      <c r="AC60" s="483">
        <f t="shared" si="81"/>
        <v>8</v>
      </c>
      <c r="AD60" s="383">
        <f t="shared" si="82"/>
        <v>22</v>
      </c>
      <c r="AE60" s="571">
        <f t="shared" si="83"/>
        <v>175</v>
      </c>
      <c r="AF60" s="383">
        <v>24</v>
      </c>
      <c r="AG60" s="383">
        <v>91</v>
      </c>
      <c r="AH60" s="235">
        <f t="shared" si="92"/>
        <v>279.2</v>
      </c>
    </row>
    <row r="61" spans="1:34">
      <c r="A61" s="3"/>
      <c r="B61" s="75" t="s">
        <v>356</v>
      </c>
      <c r="C61" s="182">
        <v>206</v>
      </c>
      <c r="D61" s="182">
        <v>157</v>
      </c>
      <c r="E61" s="182">
        <v>182</v>
      </c>
      <c r="F61" s="40">
        <v>90</v>
      </c>
      <c r="G61" s="613">
        <v>45</v>
      </c>
      <c r="H61" s="383">
        <v>17</v>
      </c>
      <c r="I61" s="620">
        <v>0</v>
      </c>
      <c r="J61" s="571">
        <f t="shared" si="64"/>
        <v>-100</v>
      </c>
      <c r="K61" s="307">
        <f t="shared" si="88"/>
        <v>1</v>
      </c>
      <c r="L61" s="383">
        <f t="shared" si="88"/>
        <v>2</v>
      </c>
      <c r="M61" s="571">
        <f t="shared" si="93"/>
        <v>100</v>
      </c>
      <c r="N61" s="383">
        <v>18</v>
      </c>
      <c r="O61" s="383">
        <v>2</v>
      </c>
      <c r="P61" s="235">
        <f t="shared" si="89"/>
        <v>-88.9</v>
      </c>
      <c r="Q61" s="483">
        <f t="shared" si="86"/>
        <v>11</v>
      </c>
      <c r="R61" s="383">
        <f t="shared" si="87"/>
        <v>0</v>
      </c>
      <c r="S61" s="571">
        <f t="shared" si="90"/>
        <v>-100</v>
      </c>
      <c r="T61" s="383">
        <v>29</v>
      </c>
      <c r="U61" s="383">
        <v>2</v>
      </c>
      <c r="V61" s="571">
        <f t="shared" ref="V61:V62" si="94">ROUND(((U61/T61-1)*100), 1)</f>
        <v>-93.1</v>
      </c>
      <c r="W61" s="307">
        <f t="shared" si="91"/>
        <v>0</v>
      </c>
      <c r="X61" s="383">
        <f t="shared" si="91"/>
        <v>2</v>
      </c>
      <c r="Y61" s="579">
        <v>0</v>
      </c>
      <c r="Z61" s="620">
        <v>29</v>
      </c>
      <c r="AA61" s="620">
        <v>4</v>
      </c>
      <c r="AB61" s="571">
        <f t="shared" si="76"/>
        <v>-86.2</v>
      </c>
      <c r="AC61" s="483">
        <f t="shared" si="81"/>
        <v>0</v>
      </c>
      <c r="AD61" s="383">
        <f t="shared" si="82"/>
        <v>0</v>
      </c>
      <c r="AE61" s="579">
        <v>0</v>
      </c>
      <c r="AF61" s="383">
        <v>29</v>
      </c>
      <c r="AG61" s="383">
        <v>4</v>
      </c>
      <c r="AH61" s="235">
        <f t="shared" si="92"/>
        <v>-86.2</v>
      </c>
    </row>
    <row r="62" spans="1:34">
      <c r="A62" s="3"/>
      <c r="B62" s="75" t="s">
        <v>358</v>
      </c>
      <c r="C62" s="182">
        <v>141</v>
      </c>
      <c r="D62" s="182">
        <v>55</v>
      </c>
      <c r="E62" s="182">
        <v>43</v>
      </c>
      <c r="F62" s="40">
        <v>0</v>
      </c>
      <c r="G62" s="613">
        <v>1</v>
      </c>
      <c r="H62" s="383">
        <v>1</v>
      </c>
      <c r="I62" s="620">
        <v>0</v>
      </c>
      <c r="J62" s="571">
        <f t="shared" si="64"/>
        <v>-100</v>
      </c>
      <c r="K62" s="307">
        <f t="shared" si="88"/>
        <v>0</v>
      </c>
      <c r="L62" s="383">
        <f t="shared" si="88"/>
        <v>0</v>
      </c>
      <c r="M62" s="171">
        <v>0</v>
      </c>
      <c r="N62" s="383">
        <v>1</v>
      </c>
      <c r="O62" s="383">
        <v>0</v>
      </c>
      <c r="P62" s="571">
        <f t="shared" si="89"/>
        <v>-100</v>
      </c>
      <c r="Q62" s="483">
        <f t="shared" si="86"/>
        <v>0</v>
      </c>
      <c r="R62" s="383">
        <f t="shared" si="87"/>
        <v>0</v>
      </c>
      <c r="S62" s="579">
        <v>0</v>
      </c>
      <c r="T62" s="383">
        <v>1</v>
      </c>
      <c r="U62" s="383">
        <v>0</v>
      </c>
      <c r="V62" s="571">
        <f t="shared" si="94"/>
        <v>-100</v>
      </c>
      <c r="W62" s="307">
        <f t="shared" si="91"/>
        <v>0</v>
      </c>
      <c r="X62" s="383">
        <f t="shared" si="91"/>
        <v>0</v>
      </c>
      <c r="Y62" s="462">
        <v>0</v>
      </c>
      <c r="Z62" s="620">
        <v>1</v>
      </c>
      <c r="AA62" s="620">
        <v>0</v>
      </c>
      <c r="AB62" s="571">
        <f t="shared" si="76"/>
        <v>-100</v>
      </c>
      <c r="AC62" s="483">
        <f t="shared" si="81"/>
        <v>0</v>
      </c>
      <c r="AD62" s="383">
        <f t="shared" si="82"/>
        <v>0</v>
      </c>
      <c r="AE62" s="579">
        <v>0</v>
      </c>
      <c r="AF62" s="383">
        <v>1</v>
      </c>
      <c r="AG62" s="383">
        <v>0</v>
      </c>
      <c r="AH62" s="571">
        <f t="shared" si="92"/>
        <v>-100</v>
      </c>
    </row>
    <row r="63" spans="1:34">
      <c r="A63" s="3"/>
      <c r="B63" s="75" t="s">
        <v>359</v>
      </c>
      <c r="C63" s="182">
        <f t="shared" ref="C63:I63" si="95">C64-SUM(C43:C62)</f>
        <v>356</v>
      </c>
      <c r="D63" s="182">
        <f t="shared" si="95"/>
        <v>459</v>
      </c>
      <c r="E63" s="182">
        <f t="shared" si="95"/>
        <v>494</v>
      </c>
      <c r="F63" s="40">
        <f t="shared" si="95"/>
        <v>531</v>
      </c>
      <c r="G63" s="613">
        <f t="shared" si="95"/>
        <v>328</v>
      </c>
      <c r="H63" s="383">
        <f t="shared" si="95"/>
        <v>10</v>
      </c>
      <c r="I63" s="620">
        <f t="shared" si="95"/>
        <v>13</v>
      </c>
      <c r="J63" s="226">
        <f>ROUND(((I63/H63-1)*100), 1)</f>
        <v>30</v>
      </c>
      <c r="K63" s="307">
        <f>K64-SUM(K43:K62)</f>
        <v>42</v>
      </c>
      <c r="L63" s="383">
        <f>L64-SUM(L43:L62)</f>
        <v>13</v>
      </c>
      <c r="M63" s="235">
        <f>ROUND(((L63/K63-1)*100), 1)</f>
        <v>-69</v>
      </c>
      <c r="N63" s="383">
        <f>N64-SUM(N43:N62)</f>
        <v>52</v>
      </c>
      <c r="O63" s="383">
        <f>O64-SUM(O43:O62)</f>
        <v>26</v>
      </c>
      <c r="P63" s="235">
        <f t="shared" si="89"/>
        <v>-50</v>
      </c>
      <c r="Q63" s="307">
        <f>Q64-SUM(Q43:Q62)</f>
        <v>48</v>
      </c>
      <c r="R63" s="383">
        <f>R64-SUM(R43:R62)</f>
        <v>31</v>
      </c>
      <c r="S63" s="235">
        <f>ROUND(((R63/Q63-1)*100), 1)</f>
        <v>-35.4</v>
      </c>
      <c r="T63" s="383">
        <f>T64-SUM(T43:T62)</f>
        <v>100</v>
      </c>
      <c r="U63" s="383">
        <f>U64-SUM(U43:U62)</f>
        <v>57</v>
      </c>
      <c r="V63" s="235">
        <f>ROUND(((U63/T63-1)*100), 1)</f>
        <v>-43</v>
      </c>
      <c r="W63" s="307">
        <f>W64-SUM(W43:W62)</f>
        <v>65</v>
      </c>
      <c r="X63" s="383">
        <f>X64-SUM(X43:X62)</f>
        <v>88</v>
      </c>
      <c r="Y63" s="235">
        <f t="shared" ref="Y63:Y76" si="96">ROUND(((X63/W63-1)*100), 1)</f>
        <v>35.4</v>
      </c>
      <c r="Z63" s="620">
        <f>Z64-SUM(Z43:Z62)</f>
        <v>106</v>
      </c>
      <c r="AA63" s="620">
        <f>AA64-SUM(AA43:AA62)</f>
        <v>86</v>
      </c>
      <c r="AB63" s="235">
        <f t="shared" ref="AB63:AB76" si="97">ROUND(((AA63/Z63-1)*100), 1)</f>
        <v>-18.899999999999999</v>
      </c>
      <c r="AC63" s="307">
        <f>AC64-SUM(AC43:AC62)</f>
        <v>21</v>
      </c>
      <c r="AD63" s="383">
        <f>AD64-SUM(AD43:AD62)</f>
        <v>58</v>
      </c>
      <c r="AE63" s="235">
        <f t="shared" ref="AE63:AE74" si="98">ROUND(((AD63/AC63-1)*100), 1)</f>
        <v>176.2</v>
      </c>
      <c r="AF63" s="383">
        <f>AF64-SUM(AF43:AF62)</f>
        <v>127</v>
      </c>
      <c r="AG63" s="383">
        <f>AG64-SUM(AG43:AG62)</f>
        <v>144</v>
      </c>
      <c r="AH63" s="235">
        <f t="shared" ref="AH63:AH76" si="99">ROUND(((AG63/AF63-1)*100), 1)</f>
        <v>13.4</v>
      </c>
    </row>
    <row r="64" spans="1:34">
      <c r="A64" s="8"/>
      <c r="B64" s="76" t="s">
        <v>101</v>
      </c>
      <c r="C64" s="308">
        <v>40345</v>
      </c>
      <c r="D64" s="308">
        <v>52182</v>
      </c>
      <c r="E64" s="308">
        <v>54931</v>
      </c>
      <c r="F64" s="42">
        <v>49199</v>
      </c>
      <c r="G64" s="614">
        <v>52031</v>
      </c>
      <c r="H64" s="373">
        <v>3968</v>
      </c>
      <c r="I64" s="621">
        <v>4245</v>
      </c>
      <c r="J64" s="227">
        <f>ROUND(((I64/H64-1)*100), 1)</f>
        <v>7</v>
      </c>
      <c r="K64" s="372">
        <f t="shared" ref="K64" si="100">N64-H64</f>
        <v>4325</v>
      </c>
      <c r="L64" s="373">
        <f t="shared" ref="L64" si="101">O64-I64</f>
        <v>4497</v>
      </c>
      <c r="M64" s="236">
        <f>ROUND(((L64/K64-1)*100), 1)</f>
        <v>4</v>
      </c>
      <c r="N64" s="373">
        <v>8293</v>
      </c>
      <c r="O64" s="373">
        <v>8742</v>
      </c>
      <c r="P64" s="236">
        <f t="shared" si="89"/>
        <v>5.4</v>
      </c>
      <c r="Q64" s="372">
        <f t="shared" ref="Q64" si="102">T64-N64</f>
        <v>4522</v>
      </c>
      <c r="R64" s="373">
        <f t="shared" ref="R64" si="103">U64-O64</f>
        <v>4341</v>
      </c>
      <c r="S64" s="236">
        <f>ROUND(((R64/Q64-1)*100), 1)</f>
        <v>-4</v>
      </c>
      <c r="T64" s="373">
        <v>12815</v>
      </c>
      <c r="U64" s="373">
        <v>13083</v>
      </c>
      <c r="V64" s="236">
        <f>ROUND(((U64/T64-1)*100), 1)</f>
        <v>2.1</v>
      </c>
      <c r="W64" s="372">
        <f t="shared" ref="W64" si="104">Z64-T64</f>
        <v>4503</v>
      </c>
      <c r="X64" s="373">
        <f t="shared" ref="X64" si="105">AA64-U64</f>
        <v>4878</v>
      </c>
      <c r="Y64" s="236">
        <f t="shared" si="96"/>
        <v>8.3000000000000007</v>
      </c>
      <c r="Z64" s="621">
        <v>17318</v>
      </c>
      <c r="AA64" s="621">
        <v>17961</v>
      </c>
      <c r="AB64" s="236">
        <f t="shared" si="97"/>
        <v>3.7</v>
      </c>
      <c r="AC64" s="372">
        <f t="shared" ref="AC64:AD64" si="106">AF64-Z64</f>
        <v>3767</v>
      </c>
      <c r="AD64" s="373">
        <f t="shared" si="106"/>
        <v>4266</v>
      </c>
      <c r="AE64" s="236">
        <f t="shared" si="98"/>
        <v>13.2</v>
      </c>
      <c r="AF64" s="373">
        <v>21085</v>
      </c>
      <c r="AG64" s="373">
        <v>22227</v>
      </c>
      <c r="AH64" s="236">
        <f t="shared" si="99"/>
        <v>5.4</v>
      </c>
    </row>
    <row r="65" spans="1:34">
      <c r="A65" s="3"/>
      <c r="B65" s="75" t="s">
        <v>363</v>
      </c>
      <c r="C65" s="182">
        <v>465</v>
      </c>
      <c r="D65" s="182">
        <v>134</v>
      </c>
      <c r="E65" s="182">
        <v>123</v>
      </c>
      <c r="F65" s="40">
        <v>237</v>
      </c>
      <c r="G65" s="613">
        <v>608</v>
      </c>
      <c r="H65" s="383">
        <v>8</v>
      </c>
      <c r="I65" s="620">
        <v>6</v>
      </c>
      <c r="J65" s="225">
        <f>ROUND(((I65/H65-1)*100), 1)</f>
        <v>-25</v>
      </c>
      <c r="K65" s="307">
        <f t="shared" ref="K65:K81" si="107">N65-H65</f>
        <v>5</v>
      </c>
      <c r="L65" s="383">
        <f t="shared" ref="L65:L81" si="108">O65-I65</f>
        <v>72</v>
      </c>
      <c r="M65" s="225">
        <f>ROUND(((L65/K65-1)*100), 1)</f>
        <v>1340</v>
      </c>
      <c r="N65" s="383">
        <v>13</v>
      </c>
      <c r="O65" s="383">
        <v>78</v>
      </c>
      <c r="P65" s="225">
        <f t="shared" si="89"/>
        <v>500</v>
      </c>
      <c r="Q65" s="307">
        <f t="shared" ref="Q65:Q81" si="109">T65-N65</f>
        <v>31</v>
      </c>
      <c r="R65" s="383">
        <f t="shared" ref="R65:R81" si="110">U65-O65</f>
        <v>6</v>
      </c>
      <c r="S65" s="225">
        <f>ROUND(((R65/Q65-1)*100), 1)</f>
        <v>-80.599999999999994</v>
      </c>
      <c r="T65" s="383">
        <v>44</v>
      </c>
      <c r="U65" s="383">
        <v>84</v>
      </c>
      <c r="V65" s="225">
        <f>ROUND(((U65/T65-1)*100), 1)</f>
        <v>90.9</v>
      </c>
      <c r="W65" s="307">
        <f t="shared" ref="W65:W81" si="111">Z65-T65</f>
        <v>20</v>
      </c>
      <c r="X65" s="383">
        <f t="shared" ref="X65:X81" si="112">AA65-U65</f>
        <v>11</v>
      </c>
      <c r="Y65" s="225">
        <f t="shared" si="96"/>
        <v>-45</v>
      </c>
      <c r="Z65" s="620">
        <v>64</v>
      </c>
      <c r="AA65" s="620">
        <v>95</v>
      </c>
      <c r="AB65" s="225">
        <f t="shared" si="97"/>
        <v>48.4</v>
      </c>
      <c r="AC65" s="307">
        <f t="shared" ref="AC65:AC81" si="113">AF65-Z65</f>
        <v>52</v>
      </c>
      <c r="AD65" s="383">
        <f t="shared" ref="AD65:AD81" si="114">AG65-AA65</f>
        <v>12</v>
      </c>
      <c r="AE65" s="225">
        <f t="shared" si="98"/>
        <v>-76.900000000000006</v>
      </c>
      <c r="AF65" s="383">
        <v>116</v>
      </c>
      <c r="AG65" s="383">
        <v>107</v>
      </c>
      <c r="AH65" s="225">
        <f t="shared" si="99"/>
        <v>-7.8</v>
      </c>
    </row>
    <row r="66" spans="1:34">
      <c r="A66" s="3" t="s">
        <v>103</v>
      </c>
      <c r="B66" s="75" t="s">
        <v>360</v>
      </c>
      <c r="C66" s="182">
        <v>1029</v>
      </c>
      <c r="D66" s="182">
        <v>777</v>
      </c>
      <c r="E66" s="182">
        <v>807</v>
      </c>
      <c r="F66" s="40">
        <v>665</v>
      </c>
      <c r="G66" s="613">
        <v>580</v>
      </c>
      <c r="H66" s="383">
        <v>53</v>
      </c>
      <c r="I66" s="620">
        <v>53</v>
      </c>
      <c r="J66" s="571">
        <f>ROUND(((I66/H66-1)*100), 1)</f>
        <v>0</v>
      </c>
      <c r="K66" s="307">
        <f t="shared" si="107"/>
        <v>40</v>
      </c>
      <c r="L66" s="383">
        <f t="shared" si="108"/>
        <v>61</v>
      </c>
      <c r="M66" s="571">
        <f>ROUND(((L66/K66-1)*100), 1)</f>
        <v>52.5</v>
      </c>
      <c r="N66" s="383">
        <v>93</v>
      </c>
      <c r="O66" s="383">
        <v>114</v>
      </c>
      <c r="P66" s="571">
        <f t="shared" si="89"/>
        <v>22.6</v>
      </c>
      <c r="Q66" s="307">
        <f t="shared" si="109"/>
        <v>68</v>
      </c>
      <c r="R66" s="383">
        <f t="shared" si="110"/>
        <v>53</v>
      </c>
      <c r="S66" s="571">
        <f>ROUND(((R66/Q66-1)*100), 1)</f>
        <v>-22.1</v>
      </c>
      <c r="T66" s="383">
        <v>161</v>
      </c>
      <c r="U66" s="383">
        <v>167</v>
      </c>
      <c r="V66" s="571">
        <f>ROUND(((U66/T66-1)*100), 1)</f>
        <v>3.7</v>
      </c>
      <c r="W66" s="307">
        <f t="shared" si="111"/>
        <v>56</v>
      </c>
      <c r="X66" s="383">
        <f t="shared" si="112"/>
        <v>89</v>
      </c>
      <c r="Y66" s="571">
        <f t="shared" si="96"/>
        <v>58.9</v>
      </c>
      <c r="Z66" s="620">
        <v>217</v>
      </c>
      <c r="AA66" s="620">
        <v>256</v>
      </c>
      <c r="AB66" s="571">
        <f t="shared" si="97"/>
        <v>18</v>
      </c>
      <c r="AC66" s="307">
        <f t="shared" si="113"/>
        <v>52</v>
      </c>
      <c r="AD66" s="383">
        <f t="shared" si="114"/>
        <v>82</v>
      </c>
      <c r="AE66" s="571">
        <f t="shared" si="98"/>
        <v>57.7</v>
      </c>
      <c r="AF66" s="383">
        <v>269</v>
      </c>
      <c r="AG66" s="383">
        <v>338</v>
      </c>
      <c r="AH66" s="571">
        <f t="shared" si="99"/>
        <v>25.7</v>
      </c>
    </row>
    <row r="67" spans="1:34">
      <c r="A67" s="3"/>
      <c r="B67" s="75" t="s">
        <v>368</v>
      </c>
      <c r="C67" s="182">
        <v>42</v>
      </c>
      <c r="D67" s="182">
        <v>41</v>
      </c>
      <c r="E67" s="182">
        <v>32</v>
      </c>
      <c r="F67" s="40">
        <v>269</v>
      </c>
      <c r="G67" s="613">
        <v>576</v>
      </c>
      <c r="H67" s="383">
        <v>20</v>
      </c>
      <c r="I67" s="620">
        <v>106</v>
      </c>
      <c r="J67" s="571">
        <f t="shared" ref="J67:J74" si="115">ROUND(((I67/H67-1)*100), 1)</f>
        <v>430</v>
      </c>
      <c r="K67" s="307">
        <f t="shared" si="107"/>
        <v>21</v>
      </c>
      <c r="L67" s="383">
        <f t="shared" si="108"/>
        <v>20</v>
      </c>
      <c r="M67" s="571">
        <f t="shared" ref="M67:M74" si="116">ROUND(((L67/K67-1)*100), 1)</f>
        <v>-4.8</v>
      </c>
      <c r="N67" s="383">
        <v>41</v>
      </c>
      <c r="O67" s="383">
        <v>126</v>
      </c>
      <c r="P67" s="571">
        <f t="shared" si="89"/>
        <v>207.3</v>
      </c>
      <c r="Q67" s="307">
        <f t="shared" si="109"/>
        <v>69</v>
      </c>
      <c r="R67" s="383">
        <f t="shared" si="110"/>
        <v>126</v>
      </c>
      <c r="S67" s="571">
        <f t="shared" ref="S67:S74" si="117">ROUND(((R67/Q67-1)*100), 1)</f>
        <v>82.6</v>
      </c>
      <c r="T67" s="383">
        <v>110</v>
      </c>
      <c r="U67" s="383">
        <v>252</v>
      </c>
      <c r="V67" s="579">
        <v>0</v>
      </c>
      <c r="W67" s="307">
        <f t="shared" si="111"/>
        <v>20</v>
      </c>
      <c r="X67" s="383">
        <f t="shared" si="112"/>
        <v>147</v>
      </c>
      <c r="Y67" s="571">
        <f t="shared" si="96"/>
        <v>635</v>
      </c>
      <c r="Z67" s="620">
        <v>130</v>
      </c>
      <c r="AA67" s="620">
        <v>399</v>
      </c>
      <c r="AB67" s="571">
        <f t="shared" si="97"/>
        <v>206.9</v>
      </c>
      <c r="AC67" s="307">
        <f t="shared" si="113"/>
        <v>35</v>
      </c>
      <c r="AD67" s="383">
        <f t="shared" si="114"/>
        <v>84</v>
      </c>
      <c r="AE67" s="571">
        <f t="shared" si="98"/>
        <v>140</v>
      </c>
      <c r="AF67" s="383">
        <v>165</v>
      </c>
      <c r="AG67" s="383">
        <v>483</v>
      </c>
      <c r="AH67" s="571">
        <f t="shared" si="99"/>
        <v>192.7</v>
      </c>
    </row>
    <row r="68" spans="1:34">
      <c r="A68" s="3"/>
      <c r="B68" s="75" t="s">
        <v>372</v>
      </c>
      <c r="C68" s="182">
        <v>0</v>
      </c>
      <c r="D68" s="182">
        <v>27</v>
      </c>
      <c r="E68" s="182">
        <v>0</v>
      </c>
      <c r="F68" s="40">
        <v>203</v>
      </c>
      <c r="G68" s="613">
        <v>256</v>
      </c>
      <c r="H68" s="383">
        <v>23</v>
      </c>
      <c r="I68" s="620">
        <v>0</v>
      </c>
      <c r="J68" s="571">
        <f t="shared" si="115"/>
        <v>-100</v>
      </c>
      <c r="K68" s="307">
        <f t="shared" si="107"/>
        <v>23</v>
      </c>
      <c r="L68" s="383">
        <f t="shared" si="108"/>
        <v>0</v>
      </c>
      <c r="M68" s="571">
        <f t="shared" si="116"/>
        <v>-100</v>
      </c>
      <c r="N68" s="383">
        <v>46</v>
      </c>
      <c r="O68" s="383">
        <v>0</v>
      </c>
      <c r="P68" s="571">
        <f t="shared" ref="P68:P74" si="118">ROUND(((O68/N68-1)*100), 1)</f>
        <v>-100</v>
      </c>
      <c r="Q68" s="307">
        <f t="shared" si="109"/>
        <v>23</v>
      </c>
      <c r="R68" s="383">
        <f t="shared" si="110"/>
        <v>23</v>
      </c>
      <c r="S68" s="571">
        <f t="shared" si="117"/>
        <v>0</v>
      </c>
      <c r="T68" s="383">
        <v>69</v>
      </c>
      <c r="U68" s="383">
        <v>23</v>
      </c>
      <c r="V68" s="571">
        <f t="shared" ref="V68:V74" si="119">ROUND(((U68/T68-1)*100), 1)</f>
        <v>-66.7</v>
      </c>
      <c r="W68" s="307">
        <f t="shared" si="111"/>
        <v>24</v>
      </c>
      <c r="X68" s="383">
        <f t="shared" si="112"/>
        <v>23</v>
      </c>
      <c r="Y68" s="571">
        <f t="shared" si="96"/>
        <v>-4.2</v>
      </c>
      <c r="Z68" s="620">
        <v>93</v>
      </c>
      <c r="AA68" s="620">
        <v>46</v>
      </c>
      <c r="AB68" s="571">
        <f t="shared" si="97"/>
        <v>-50.5</v>
      </c>
      <c r="AC68" s="307">
        <f t="shared" si="113"/>
        <v>24</v>
      </c>
      <c r="AD68" s="383">
        <f t="shared" si="114"/>
        <v>23</v>
      </c>
      <c r="AE68" s="571">
        <f t="shared" si="98"/>
        <v>-4.2</v>
      </c>
      <c r="AF68" s="383">
        <v>117</v>
      </c>
      <c r="AG68" s="383">
        <v>69</v>
      </c>
      <c r="AH68" s="571">
        <f t="shared" si="99"/>
        <v>-41</v>
      </c>
    </row>
    <row r="69" spans="1:34">
      <c r="A69" s="3"/>
      <c r="B69" s="75" t="s">
        <v>361</v>
      </c>
      <c r="C69" s="182">
        <v>27</v>
      </c>
      <c r="D69" s="182">
        <v>108</v>
      </c>
      <c r="E69" s="182">
        <v>181</v>
      </c>
      <c r="F69" s="40">
        <v>245</v>
      </c>
      <c r="G69" s="613">
        <v>203</v>
      </c>
      <c r="H69" s="383">
        <v>13</v>
      </c>
      <c r="I69" s="620">
        <v>0</v>
      </c>
      <c r="J69" s="571">
        <f t="shared" si="115"/>
        <v>-100</v>
      </c>
      <c r="K69" s="307">
        <f t="shared" si="107"/>
        <v>30</v>
      </c>
      <c r="L69" s="383">
        <f t="shared" si="108"/>
        <v>23</v>
      </c>
      <c r="M69" s="571">
        <f t="shared" si="116"/>
        <v>-23.3</v>
      </c>
      <c r="N69" s="383">
        <v>43</v>
      </c>
      <c r="O69" s="383">
        <v>23</v>
      </c>
      <c r="P69" s="571">
        <f t="shared" si="118"/>
        <v>-46.5</v>
      </c>
      <c r="Q69" s="307">
        <f t="shared" si="109"/>
        <v>19</v>
      </c>
      <c r="R69" s="383">
        <f t="shared" si="110"/>
        <v>1</v>
      </c>
      <c r="S69" s="571">
        <f t="shared" si="117"/>
        <v>-94.7</v>
      </c>
      <c r="T69" s="383">
        <v>62</v>
      </c>
      <c r="U69" s="383">
        <v>24</v>
      </c>
      <c r="V69" s="571">
        <f t="shared" si="119"/>
        <v>-61.3</v>
      </c>
      <c r="W69" s="307">
        <f t="shared" si="111"/>
        <v>17</v>
      </c>
      <c r="X69" s="383">
        <f t="shared" si="112"/>
        <v>0</v>
      </c>
      <c r="Y69" s="571">
        <f t="shared" si="96"/>
        <v>-100</v>
      </c>
      <c r="Z69" s="620">
        <v>79</v>
      </c>
      <c r="AA69" s="620">
        <v>24</v>
      </c>
      <c r="AB69" s="571">
        <f t="shared" si="97"/>
        <v>-69.599999999999994</v>
      </c>
      <c r="AC69" s="307">
        <f t="shared" si="113"/>
        <v>1</v>
      </c>
      <c r="AD69" s="383">
        <f t="shared" si="114"/>
        <v>0</v>
      </c>
      <c r="AE69" s="571">
        <f t="shared" si="98"/>
        <v>-100</v>
      </c>
      <c r="AF69" s="383">
        <v>80</v>
      </c>
      <c r="AG69" s="383">
        <v>24</v>
      </c>
      <c r="AH69" s="571">
        <f t="shared" si="99"/>
        <v>-70</v>
      </c>
    </row>
    <row r="70" spans="1:34">
      <c r="A70" s="3"/>
      <c r="B70" s="75" t="s">
        <v>362</v>
      </c>
      <c r="C70" s="182">
        <v>86</v>
      </c>
      <c r="D70" s="182">
        <v>156</v>
      </c>
      <c r="E70" s="182">
        <v>164</v>
      </c>
      <c r="F70" s="40">
        <v>120</v>
      </c>
      <c r="G70" s="613">
        <v>150</v>
      </c>
      <c r="H70" s="383">
        <v>5</v>
      </c>
      <c r="I70" s="620">
        <v>7</v>
      </c>
      <c r="J70" s="571">
        <f t="shared" si="115"/>
        <v>40</v>
      </c>
      <c r="K70" s="307">
        <f t="shared" si="107"/>
        <v>5</v>
      </c>
      <c r="L70" s="383">
        <f t="shared" si="108"/>
        <v>8</v>
      </c>
      <c r="M70" s="571">
        <f t="shared" si="116"/>
        <v>60</v>
      </c>
      <c r="N70" s="383">
        <v>10</v>
      </c>
      <c r="O70" s="383">
        <v>15</v>
      </c>
      <c r="P70" s="571">
        <f t="shared" si="118"/>
        <v>50</v>
      </c>
      <c r="Q70" s="307">
        <f t="shared" si="109"/>
        <v>16</v>
      </c>
      <c r="R70" s="383">
        <f t="shared" si="110"/>
        <v>7</v>
      </c>
      <c r="S70" s="571">
        <f t="shared" si="117"/>
        <v>-56.3</v>
      </c>
      <c r="T70" s="383">
        <v>26</v>
      </c>
      <c r="U70" s="383">
        <v>22</v>
      </c>
      <c r="V70" s="571">
        <f t="shared" si="119"/>
        <v>-15.4</v>
      </c>
      <c r="W70" s="307">
        <f t="shared" si="111"/>
        <v>14</v>
      </c>
      <c r="X70" s="383">
        <f t="shared" si="112"/>
        <v>3</v>
      </c>
      <c r="Y70" s="571">
        <f t="shared" si="96"/>
        <v>-78.599999999999994</v>
      </c>
      <c r="Z70" s="620">
        <v>40</v>
      </c>
      <c r="AA70" s="620">
        <v>25</v>
      </c>
      <c r="AB70" s="571">
        <f t="shared" si="97"/>
        <v>-37.5</v>
      </c>
      <c r="AC70" s="307">
        <f t="shared" si="113"/>
        <v>14</v>
      </c>
      <c r="AD70" s="383">
        <f t="shared" si="114"/>
        <v>48</v>
      </c>
      <c r="AE70" s="571">
        <f t="shared" si="98"/>
        <v>242.9</v>
      </c>
      <c r="AF70" s="383">
        <v>54</v>
      </c>
      <c r="AG70" s="383">
        <v>73</v>
      </c>
      <c r="AH70" s="571">
        <f t="shared" si="99"/>
        <v>35.200000000000003</v>
      </c>
    </row>
    <row r="71" spans="1:34">
      <c r="A71" s="3"/>
      <c r="B71" s="75" t="s">
        <v>49</v>
      </c>
      <c r="C71" s="182">
        <v>1386</v>
      </c>
      <c r="D71" s="182">
        <v>996</v>
      </c>
      <c r="E71" s="182">
        <v>388</v>
      </c>
      <c r="F71" s="40">
        <v>251</v>
      </c>
      <c r="G71" s="613">
        <v>126</v>
      </c>
      <c r="H71" s="383">
        <v>32</v>
      </c>
      <c r="I71" s="620">
        <v>0</v>
      </c>
      <c r="J71" s="571">
        <f t="shared" si="115"/>
        <v>-100</v>
      </c>
      <c r="K71" s="307">
        <f t="shared" si="107"/>
        <v>0</v>
      </c>
      <c r="L71" s="383">
        <f t="shared" si="108"/>
        <v>48</v>
      </c>
      <c r="M71" s="579">
        <v>0</v>
      </c>
      <c r="N71" s="383">
        <v>32</v>
      </c>
      <c r="O71" s="383">
        <v>48</v>
      </c>
      <c r="P71" s="571">
        <f t="shared" si="118"/>
        <v>50</v>
      </c>
      <c r="Q71" s="307">
        <f t="shared" si="109"/>
        <v>11</v>
      </c>
      <c r="R71" s="383">
        <f t="shared" si="110"/>
        <v>0</v>
      </c>
      <c r="S71" s="571">
        <f t="shared" si="117"/>
        <v>-100</v>
      </c>
      <c r="T71" s="383">
        <v>43</v>
      </c>
      <c r="U71" s="383">
        <v>48</v>
      </c>
      <c r="V71" s="571">
        <f t="shared" si="119"/>
        <v>11.6</v>
      </c>
      <c r="W71" s="307">
        <f t="shared" si="111"/>
        <v>0</v>
      </c>
      <c r="X71" s="383">
        <f t="shared" si="112"/>
        <v>22</v>
      </c>
      <c r="Y71" s="579">
        <v>0</v>
      </c>
      <c r="Z71" s="620">
        <v>43</v>
      </c>
      <c r="AA71" s="620">
        <v>70</v>
      </c>
      <c r="AB71" s="571">
        <f t="shared" si="97"/>
        <v>62.8</v>
      </c>
      <c r="AC71" s="307">
        <f t="shared" si="113"/>
        <v>0</v>
      </c>
      <c r="AD71" s="383">
        <f t="shared" si="114"/>
        <v>0</v>
      </c>
      <c r="AE71" s="579">
        <v>0</v>
      </c>
      <c r="AF71" s="383">
        <v>43</v>
      </c>
      <c r="AG71" s="383">
        <v>70</v>
      </c>
      <c r="AH71" s="571">
        <f t="shared" si="99"/>
        <v>62.8</v>
      </c>
    </row>
    <row r="72" spans="1:34">
      <c r="A72" s="3"/>
      <c r="B72" s="75" t="s">
        <v>364</v>
      </c>
      <c r="C72" s="182">
        <v>60</v>
      </c>
      <c r="D72" s="182">
        <v>9</v>
      </c>
      <c r="E72" s="182">
        <v>56</v>
      </c>
      <c r="F72" s="40">
        <v>117</v>
      </c>
      <c r="G72" s="613">
        <v>65</v>
      </c>
      <c r="H72" s="383">
        <v>10</v>
      </c>
      <c r="I72" s="620">
        <v>0</v>
      </c>
      <c r="J72" s="571">
        <f t="shared" si="115"/>
        <v>-100</v>
      </c>
      <c r="K72" s="307">
        <f t="shared" si="107"/>
        <v>8</v>
      </c>
      <c r="L72" s="383">
        <f t="shared" si="108"/>
        <v>1</v>
      </c>
      <c r="M72" s="571">
        <f t="shared" si="116"/>
        <v>-87.5</v>
      </c>
      <c r="N72" s="383">
        <v>18</v>
      </c>
      <c r="O72" s="383">
        <v>1</v>
      </c>
      <c r="P72" s="571">
        <f t="shared" si="118"/>
        <v>-94.4</v>
      </c>
      <c r="Q72" s="307">
        <f t="shared" si="109"/>
        <v>0</v>
      </c>
      <c r="R72" s="383">
        <f t="shared" si="110"/>
        <v>1</v>
      </c>
      <c r="S72" s="579">
        <v>0</v>
      </c>
      <c r="T72" s="383">
        <v>18</v>
      </c>
      <c r="U72" s="383">
        <v>2</v>
      </c>
      <c r="V72" s="571">
        <f t="shared" si="119"/>
        <v>-88.9</v>
      </c>
      <c r="W72" s="307">
        <f t="shared" si="111"/>
        <v>16</v>
      </c>
      <c r="X72" s="383">
        <f t="shared" si="112"/>
        <v>0</v>
      </c>
      <c r="Y72" s="571">
        <f t="shared" si="96"/>
        <v>-100</v>
      </c>
      <c r="Z72" s="620">
        <v>34</v>
      </c>
      <c r="AA72" s="620">
        <v>2</v>
      </c>
      <c r="AB72" s="571">
        <f t="shared" si="97"/>
        <v>-94.1</v>
      </c>
      <c r="AC72" s="307">
        <f t="shared" si="113"/>
        <v>2</v>
      </c>
      <c r="AD72" s="383">
        <f t="shared" si="114"/>
        <v>3</v>
      </c>
      <c r="AE72" s="571">
        <f t="shared" si="98"/>
        <v>50</v>
      </c>
      <c r="AF72" s="383">
        <v>36</v>
      </c>
      <c r="AG72" s="383">
        <v>5</v>
      </c>
      <c r="AH72" s="571">
        <f t="shared" si="99"/>
        <v>-86.1</v>
      </c>
    </row>
    <row r="73" spans="1:34">
      <c r="A73" s="3"/>
      <c r="B73" s="75" t="s">
        <v>367</v>
      </c>
      <c r="C73" s="182">
        <v>40</v>
      </c>
      <c r="D73" s="182">
        <v>47</v>
      </c>
      <c r="E73" s="182">
        <v>41</v>
      </c>
      <c r="F73" s="40">
        <v>44</v>
      </c>
      <c r="G73" s="613">
        <v>40</v>
      </c>
      <c r="H73" s="383">
        <v>4</v>
      </c>
      <c r="I73" s="620">
        <v>2</v>
      </c>
      <c r="J73" s="571">
        <f t="shared" si="115"/>
        <v>-50</v>
      </c>
      <c r="K73" s="307">
        <f t="shared" si="107"/>
        <v>7</v>
      </c>
      <c r="L73" s="383">
        <f t="shared" si="108"/>
        <v>7</v>
      </c>
      <c r="M73" s="571">
        <f t="shared" si="116"/>
        <v>0</v>
      </c>
      <c r="N73" s="383">
        <v>11</v>
      </c>
      <c r="O73" s="383">
        <v>9</v>
      </c>
      <c r="P73" s="571">
        <f t="shared" si="118"/>
        <v>-18.2</v>
      </c>
      <c r="Q73" s="307">
        <f t="shared" si="109"/>
        <v>7</v>
      </c>
      <c r="R73" s="383">
        <f t="shared" si="110"/>
        <v>3</v>
      </c>
      <c r="S73" s="571">
        <f t="shared" si="117"/>
        <v>-57.1</v>
      </c>
      <c r="T73" s="383">
        <v>18</v>
      </c>
      <c r="U73" s="383">
        <v>12</v>
      </c>
      <c r="V73" s="571">
        <f t="shared" si="119"/>
        <v>-33.299999999999997</v>
      </c>
      <c r="W73" s="307">
        <f t="shared" si="111"/>
        <v>3</v>
      </c>
      <c r="X73" s="383">
        <f t="shared" si="112"/>
        <v>8</v>
      </c>
      <c r="Y73" s="571">
        <f t="shared" si="96"/>
        <v>166.7</v>
      </c>
      <c r="Z73" s="620">
        <v>21</v>
      </c>
      <c r="AA73" s="620">
        <v>20</v>
      </c>
      <c r="AB73" s="571">
        <f t="shared" si="97"/>
        <v>-4.8</v>
      </c>
      <c r="AC73" s="307">
        <f t="shared" si="113"/>
        <v>1</v>
      </c>
      <c r="AD73" s="383">
        <f t="shared" si="114"/>
        <v>4</v>
      </c>
      <c r="AE73" s="571">
        <f t="shared" si="98"/>
        <v>300</v>
      </c>
      <c r="AF73" s="383">
        <v>22</v>
      </c>
      <c r="AG73" s="383">
        <v>24</v>
      </c>
      <c r="AH73" s="571">
        <f t="shared" si="99"/>
        <v>9.1</v>
      </c>
    </row>
    <row r="74" spans="1:34">
      <c r="A74" s="3"/>
      <c r="B74" s="75" t="s">
        <v>366</v>
      </c>
      <c r="C74" s="182">
        <v>53</v>
      </c>
      <c r="D74" s="182">
        <v>31</v>
      </c>
      <c r="E74" s="182">
        <v>42</v>
      </c>
      <c r="F74" s="40">
        <v>21</v>
      </c>
      <c r="G74" s="613">
        <v>26</v>
      </c>
      <c r="H74" s="383">
        <v>2</v>
      </c>
      <c r="I74" s="620">
        <v>0</v>
      </c>
      <c r="J74" s="571">
        <f t="shared" si="115"/>
        <v>-100</v>
      </c>
      <c r="K74" s="307">
        <f t="shared" si="107"/>
        <v>4</v>
      </c>
      <c r="L74" s="383">
        <f t="shared" si="108"/>
        <v>0</v>
      </c>
      <c r="M74" s="571">
        <f t="shared" si="116"/>
        <v>-100</v>
      </c>
      <c r="N74" s="383">
        <v>6</v>
      </c>
      <c r="O74" s="383">
        <v>0</v>
      </c>
      <c r="P74" s="571">
        <f t="shared" si="118"/>
        <v>-100</v>
      </c>
      <c r="Q74" s="307">
        <f t="shared" si="109"/>
        <v>3</v>
      </c>
      <c r="R74" s="383">
        <f t="shared" si="110"/>
        <v>2</v>
      </c>
      <c r="S74" s="571">
        <f t="shared" si="117"/>
        <v>-33.299999999999997</v>
      </c>
      <c r="T74" s="383">
        <v>9</v>
      </c>
      <c r="U74" s="383">
        <v>2</v>
      </c>
      <c r="V74" s="571">
        <f t="shared" si="119"/>
        <v>-77.8</v>
      </c>
      <c r="W74" s="307">
        <f t="shared" si="111"/>
        <v>1</v>
      </c>
      <c r="X74" s="383">
        <f t="shared" si="112"/>
        <v>0</v>
      </c>
      <c r="Y74" s="571">
        <f t="shared" si="96"/>
        <v>-100</v>
      </c>
      <c r="Z74" s="620">
        <v>10</v>
      </c>
      <c r="AA74" s="620">
        <v>2</v>
      </c>
      <c r="AB74" s="571">
        <f t="shared" si="97"/>
        <v>-80</v>
      </c>
      <c r="AC74" s="307">
        <f t="shared" si="113"/>
        <v>2</v>
      </c>
      <c r="AD74" s="383">
        <f t="shared" si="114"/>
        <v>0</v>
      </c>
      <c r="AE74" s="571">
        <f t="shared" si="98"/>
        <v>-100</v>
      </c>
      <c r="AF74" s="383">
        <v>12</v>
      </c>
      <c r="AG74" s="383">
        <v>2</v>
      </c>
      <c r="AH74" s="571">
        <f t="shared" si="99"/>
        <v>-83.3</v>
      </c>
    </row>
    <row r="75" spans="1:34">
      <c r="A75" s="3"/>
      <c r="B75" s="75" t="s">
        <v>365</v>
      </c>
      <c r="C75" s="182">
        <v>863</v>
      </c>
      <c r="D75" s="182">
        <v>434</v>
      </c>
      <c r="E75" s="182">
        <v>48</v>
      </c>
      <c r="F75" s="40">
        <v>147</v>
      </c>
      <c r="G75" s="613">
        <v>10</v>
      </c>
      <c r="H75" s="383">
        <v>0</v>
      </c>
      <c r="I75" s="620">
        <v>0</v>
      </c>
      <c r="J75" s="579">
        <v>0</v>
      </c>
      <c r="K75" s="307">
        <f t="shared" si="107"/>
        <v>0</v>
      </c>
      <c r="L75" s="383">
        <f t="shared" si="108"/>
        <v>0</v>
      </c>
      <c r="M75" s="579">
        <v>0</v>
      </c>
      <c r="N75" s="383">
        <v>0</v>
      </c>
      <c r="O75" s="383">
        <v>0</v>
      </c>
      <c r="P75" s="579">
        <v>0</v>
      </c>
      <c r="Q75" s="307">
        <f t="shared" si="109"/>
        <v>0</v>
      </c>
      <c r="R75" s="383">
        <f t="shared" si="110"/>
        <v>10</v>
      </c>
      <c r="S75" s="579">
        <v>0</v>
      </c>
      <c r="T75" s="383">
        <v>0</v>
      </c>
      <c r="U75" s="383">
        <v>10</v>
      </c>
      <c r="V75" s="579">
        <v>0</v>
      </c>
      <c r="W75" s="307">
        <f t="shared" si="111"/>
        <v>0</v>
      </c>
      <c r="X75" s="383">
        <f t="shared" si="112"/>
        <v>0</v>
      </c>
      <c r="Y75" s="579">
        <v>0</v>
      </c>
      <c r="Z75" s="620">
        <v>0</v>
      </c>
      <c r="AA75" s="620">
        <v>10</v>
      </c>
      <c r="AB75" s="579">
        <v>0</v>
      </c>
      <c r="AC75" s="307">
        <f t="shared" si="113"/>
        <v>0</v>
      </c>
      <c r="AD75" s="383">
        <f t="shared" si="114"/>
        <v>0</v>
      </c>
      <c r="AE75" s="579">
        <v>0</v>
      </c>
      <c r="AF75" s="383">
        <v>0</v>
      </c>
      <c r="AG75" s="383">
        <v>10</v>
      </c>
      <c r="AH75" s="579">
        <v>0</v>
      </c>
    </row>
    <row r="76" spans="1:34">
      <c r="A76" s="3"/>
      <c r="B76" s="75" t="s">
        <v>355</v>
      </c>
      <c r="C76" s="182">
        <v>8</v>
      </c>
      <c r="D76" s="182">
        <v>5</v>
      </c>
      <c r="E76" s="182">
        <v>4</v>
      </c>
      <c r="F76" s="40">
        <v>6</v>
      </c>
      <c r="G76" s="613">
        <v>3</v>
      </c>
      <c r="H76" s="383">
        <v>0</v>
      </c>
      <c r="I76" s="620">
        <v>0</v>
      </c>
      <c r="J76" s="579">
        <v>0</v>
      </c>
      <c r="K76" s="307">
        <f t="shared" si="107"/>
        <v>0</v>
      </c>
      <c r="L76" s="383">
        <f t="shared" si="108"/>
        <v>0</v>
      </c>
      <c r="M76" s="579">
        <v>0</v>
      </c>
      <c r="N76" s="383">
        <v>0</v>
      </c>
      <c r="O76" s="383">
        <v>0</v>
      </c>
      <c r="P76" s="579">
        <v>0</v>
      </c>
      <c r="Q76" s="307">
        <f t="shared" si="109"/>
        <v>0</v>
      </c>
      <c r="R76" s="383">
        <f t="shared" si="110"/>
        <v>0</v>
      </c>
      <c r="S76" s="579">
        <v>0</v>
      </c>
      <c r="T76" s="383">
        <v>0</v>
      </c>
      <c r="U76" s="383">
        <v>0</v>
      </c>
      <c r="V76" s="579">
        <v>0</v>
      </c>
      <c r="W76" s="307">
        <f t="shared" si="111"/>
        <v>1</v>
      </c>
      <c r="X76" s="383">
        <f t="shared" si="112"/>
        <v>0</v>
      </c>
      <c r="Y76" s="571">
        <f t="shared" si="96"/>
        <v>-100</v>
      </c>
      <c r="Z76" s="620">
        <v>1</v>
      </c>
      <c r="AA76" s="620">
        <v>0</v>
      </c>
      <c r="AB76" s="571">
        <f t="shared" si="97"/>
        <v>-100</v>
      </c>
      <c r="AC76" s="307">
        <f t="shared" si="113"/>
        <v>0</v>
      </c>
      <c r="AD76" s="383">
        <f t="shared" si="114"/>
        <v>1</v>
      </c>
      <c r="AE76" s="579">
        <v>0</v>
      </c>
      <c r="AF76" s="383">
        <v>1</v>
      </c>
      <c r="AG76" s="383">
        <v>1</v>
      </c>
      <c r="AH76" s="571">
        <f t="shared" si="99"/>
        <v>0</v>
      </c>
    </row>
    <row r="77" spans="1:34">
      <c r="A77" s="3"/>
      <c r="B77" s="75" t="s">
        <v>373</v>
      </c>
      <c r="C77" s="182">
        <v>11</v>
      </c>
      <c r="D77" s="182">
        <v>3</v>
      </c>
      <c r="E77" s="182">
        <v>0</v>
      </c>
      <c r="F77" s="40">
        <v>0</v>
      </c>
      <c r="G77" s="613">
        <v>2</v>
      </c>
      <c r="H77" s="383">
        <v>0</v>
      </c>
      <c r="I77" s="620">
        <v>0</v>
      </c>
      <c r="J77" s="171">
        <v>0</v>
      </c>
      <c r="K77" s="307">
        <f t="shared" si="107"/>
        <v>0</v>
      </c>
      <c r="L77" s="383">
        <f t="shared" si="108"/>
        <v>0</v>
      </c>
      <c r="M77" s="579">
        <v>0</v>
      </c>
      <c r="N77" s="383">
        <v>0</v>
      </c>
      <c r="O77" s="383">
        <v>0</v>
      </c>
      <c r="P77" s="171">
        <v>0</v>
      </c>
      <c r="Q77" s="307">
        <f t="shared" si="109"/>
        <v>0</v>
      </c>
      <c r="R77" s="383">
        <f t="shared" si="110"/>
        <v>0</v>
      </c>
      <c r="S77" s="579">
        <v>0</v>
      </c>
      <c r="T77" s="383">
        <v>0</v>
      </c>
      <c r="U77" s="383">
        <v>0</v>
      </c>
      <c r="V77" s="579">
        <v>0</v>
      </c>
      <c r="W77" s="307">
        <f t="shared" si="111"/>
        <v>0</v>
      </c>
      <c r="X77" s="383">
        <f t="shared" si="112"/>
        <v>0</v>
      </c>
      <c r="Y77" s="579">
        <v>0</v>
      </c>
      <c r="Z77" s="620">
        <v>0</v>
      </c>
      <c r="AA77" s="620">
        <v>0</v>
      </c>
      <c r="AB77" s="579">
        <v>0</v>
      </c>
      <c r="AC77" s="307">
        <f t="shared" si="113"/>
        <v>0</v>
      </c>
      <c r="AD77" s="383">
        <f t="shared" si="114"/>
        <v>0</v>
      </c>
      <c r="AE77" s="462">
        <v>0</v>
      </c>
      <c r="AF77" s="383">
        <v>0</v>
      </c>
      <c r="AG77" s="383">
        <v>0</v>
      </c>
      <c r="AH77" s="579">
        <v>0</v>
      </c>
    </row>
    <row r="78" spans="1:34">
      <c r="A78" s="3"/>
      <c r="B78" s="75" t="s">
        <v>369</v>
      </c>
      <c r="C78" s="182">
        <v>46</v>
      </c>
      <c r="D78" s="182">
        <v>3</v>
      </c>
      <c r="E78" s="182">
        <v>8</v>
      </c>
      <c r="F78" s="40">
        <v>6</v>
      </c>
      <c r="G78" s="613">
        <v>1</v>
      </c>
      <c r="H78" s="383">
        <v>0</v>
      </c>
      <c r="I78" s="620">
        <v>0</v>
      </c>
      <c r="J78" s="579">
        <v>0</v>
      </c>
      <c r="K78" s="307">
        <f t="shared" si="107"/>
        <v>0</v>
      </c>
      <c r="L78" s="383">
        <f t="shared" si="108"/>
        <v>0</v>
      </c>
      <c r="M78" s="579">
        <v>0</v>
      </c>
      <c r="N78" s="383">
        <v>0</v>
      </c>
      <c r="O78" s="383">
        <v>0</v>
      </c>
      <c r="P78" s="579">
        <v>0</v>
      </c>
      <c r="Q78" s="307">
        <f t="shared" si="109"/>
        <v>0</v>
      </c>
      <c r="R78" s="383">
        <f t="shared" si="110"/>
        <v>5</v>
      </c>
      <c r="S78" s="579">
        <v>0</v>
      </c>
      <c r="T78" s="383">
        <v>0</v>
      </c>
      <c r="U78" s="383">
        <v>5</v>
      </c>
      <c r="V78" s="579">
        <v>0</v>
      </c>
      <c r="W78" s="307">
        <f t="shared" si="111"/>
        <v>0</v>
      </c>
      <c r="X78" s="383">
        <f t="shared" si="112"/>
        <v>0</v>
      </c>
      <c r="Y78" s="579">
        <v>0</v>
      </c>
      <c r="Z78" s="620">
        <v>0</v>
      </c>
      <c r="AA78" s="620">
        <v>5</v>
      </c>
      <c r="AB78" s="579">
        <v>0</v>
      </c>
      <c r="AC78" s="307">
        <f t="shared" si="113"/>
        <v>0</v>
      </c>
      <c r="AD78" s="383">
        <f t="shared" si="114"/>
        <v>0</v>
      </c>
      <c r="AE78" s="579">
        <v>0</v>
      </c>
      <c r="AF78" s="383">
        <v>0</v>
      </c>
      <c r="AG78" s="383">
        <v>5</v>
      </c>
      <c r="AH78" s="579">
        <v>0</v>
      </c>
    </row>
    <row r="79" spans="1:34">
      <c r="A79" s="3"/>
      <c r="B79" s="75" t="s">
        <v>370</v>
      </c>
      <c r="C79" s="182">
        <v>5</v>
      </c>
      <c r="D79" s="182">
        <v>1</v>
      </c>
      <c r="E79" s="182">
        <v>1</v>
      </c>
      <c r="F79" s="40">
        <v>21</v>
      </c>
      <c r="G79" s="613">
        <v>0</v>
      </c>
      <c r="H79" s="383">
        <v>0</v>
      </c>
      <c r="I79" s="620">
        <v>0</v>
      </c>
      <c r="J79" s="171">
        <v>0</v>
      </c>
      <c r="K79" s="307">
        <f t="shared" si="107"/>
        <v>0</v>
      </c>
      <c r="L79" s="383">
        <f t="shared" si="108"/>
        <v>0</v>
      </c>
      <c r="M79" s="579">
        <v>0</v>
      </c>
      <c r="N79" s="383">
        <v>0</v>
      </c>
      <c r="O79" s="383">
        <v>0</v>
      </c>
      <c r="P79" s="171">
        <v>0</v>
      </c>
      <c r="Q79" s="307">
        <f t="shared" si="109"/>
        <v>0</v>
      </c>
      <c r="R79" s="383">
        <f t="shared" si="110"/>
        <v>0</v>
      </c>
      <c r="S79" s="579">
        <v>0</v>
      </c>
      <c r="T79" s="383">
        <v>0</v>
      </c>
      <c r="U79" s="383">
        <v>0</v>
      </c>
      <c r="V79" s="171">
        <v>0</v>
      </c>
      <c r="W79" s="307">
        <f t="shared" si="111"/>
        <v>0</v>
      </c>
      <c r="X79" s="383">
        <f t="shared" si="112"/>
        <v>0</v>
      </c>
      <c r="Y79" s="579">
        <v>0</v>
      </c>
      <c r="Z79" s="620">
        <v>0</v>
      </c>
      <c r="AA79" s="620">
        <v>0</v>
      </c>
      <c r="AB79" s="462">
        <v>0</v>
      </c>
      <c r="AC79" s="307">
        <f t="shared" si="113"/>
        <v>0</v>
      </c>
      <c r="AD79" s="383">
        <f t="shared" si="114"/>
        <v>0</v>
      </c>
      <c r="AE79" s="462">
        <v>0</v>
      </c>
      <c r="AF79" s="383">
        <v>0</v>
      </c>
      <c r="AG79" s="383">
        <v>0</v>
      </c>
      <c r="AH79" s="462">
        <v>0</v>
      </c>
    </row>
    <row r="80" spans="1:34">
      <c r="A80" s="3"/>
      <c r="B80" s="75" t="s">
        <v>371</v>
      </c>
      <c r="C80" s="182">
        <v>10</v>
      </c>
      <c r="D80" s="182">
        <v>38</v>
      </c>
      <c r="E80" s="182">
        <v>0</v>
      </c>
      <c r="F80" s="40">
        <v>0</v>
      </c>
      <c r="G80" s="613">
        <v>0</v>
      </c>
      <c r="H80" s="383">
        <v>0</v>
      </c>
      <c r="I80" s="620">
        <v>0</v>
      </c>
      <c r="J80" s="171">
        <v>0</v>
      </c>
      <c r="K80" s="307">
        <f t="shared" si="107"/>
        <v>0</v>
      </c>
      <c r="L80" s="383">
        <f t="shared" si="108"/>
        <v>0</v>
      </c>
      <c r="M80" s="171">
        <v>0</v>
      </c>
      <c r="N80" s="383">
        <v>0</v>
      </c>
      <c r="O80" s="383">
        <v>0</v>
      </c>
      <c r="P80" s="171">
        <v>0</v>
      </c>
      <c r="Q80" s="307">
        <f t="shared" si="109"/>
        <v>0</v>
      </c>
      <c r="R80" s="383">
        <f t="shared" si="110"/>
        <v>0</v>
      </c>
      <c r="S80" s="171">
        <v>0</v>
      </c>
      <c r="T80" s="383">
        <v>0</v>
      </c>
      <c r="U80" s="383">
        <v>0</v>
      </c>
      <c r="V80" s="171">
        <v>0</v>
      </c>
      <c r="W80" s="307">
        <f t="shared" si="111"/>
        <v>0</v>
      </c>
      <c r="X80" s="383">
        <f t="shared" si="112"/>
        <v>0</v>
      </c>
      <c r="Y80" s="462">
        <v>0</v>
      </c>
      <c r="Z80" s="620">
        <v>0</v>
      </c>
      <c r="AA80" s="620">
        <v>0</v>
      </c>
      <c r="AB80" s="462">
        <v>0</v>
      </c>
      <c r="AC80" s="307">
        <f t="shared" si="113"/>
        <v>0</v>
      </c>
      <c r="AD80" s="383">
        <f t="shared" si="114"/>
        <v>0</v>
      </c>
      <c r="AE80" s="462">
        <v>0</v>
      </c>
      <c r="AF80" s="383">
        <v>0</v>
      </c>
      <c r="AG80" s="383">
        <v>0</v>
      </c>
      <c r="AH80" s="462">
        <v>0</v>
      </c>
    </row>
    <row r="81" spans="1:34">
      <c r="A81" s="3"/>
      <c r="B81" s="75" t="s">
        <v>357</v>
      </c>
      <c r="C81" s="182">
        <v>0</v>
      </c>
      <c r="D81" s="182">
        <v>11</v>
      </c>
      <c r="E81" s="182">
        <v>0</v>
      </c>
      <c r="F81" s="40">
        <v>0</v>
      </c>
      <c r="G81" s="613">
        <v>0</v>
      </c>
      <c r="H81" s="383">
        <v>0</v>
      </c>
      <c r="I81" s="620">
        <v>0</v>
      </c>
      <c r="J81" s="171">
        <v>0</v>
      </c>
      <c r="K81" s="307">
        <f t="shared" si="107"/>
        <v>0</v>
      </c>
      <c r="L81" s="383">
        <f t="shared" si="108"/>
        <v>9</v>
      </c>
      <c r="M81" s="171">
        <v>0</v>
      </c>
      <c r="N81" s="383">
        <v>0</v>
      </c>
      <c r="O81" s="383">
        <v>9</v>
      </c>
      <c r="P81" s="171">
        <v>0</v>
      </c>
      <c r="Q81" s="307">
        <f t="shared" si="109"/>
        <v>0</v>
      </c>
      <c r="R81" s="383">
        <f t="shared" si="110"/>
        <v>12</v>
      </c>
      <c r="S81" s="171">
        <v>0</v>
      </c>
      <c r="T81" s="383">
        <v>0</v>
      </c>
      <c r="U81" s="383">
        <v>21</v>
      </c>
      <c r="V81" s="171">
        <v>0</v>
      </c>
      <c r="W81" s="307">
        <f t="shared" si="111"/>
        <v>0</v>
      </c>
      <c r="X81" s="383">
        <f t="shared" si="112"/>
        <v>0</v>
      </c>
      <c r="Y81" s="462">
        <v>0</v>
      </c>
      <c r="Z81" s="620">
        <v>0</v>
      </c>
      <c r="AA81" s="620">
        <v>21</v>
      </c>
      <c r="AB81" s="462">
        <v>0</v>
      </c>
      <c r="AC81" s="307">
        <f t="shared" si="113"/>
        <v>0</v>
      </c>
      <c r="AD81" s="383">
        <f t="shared" si="114"/>
        <v>0</v>
      </c>
      <c r="AE81" s="462">
        <v>0</v>
      </c>
      <c r="AF81" s="383">
        <v>0</v>
      </c>
      <c r="AG81" s="383">
        <v>21</v>
      </c>
      <c r="AH81" s="462">
        <v>0</v>
      </c>
    </row>
    <row r="82" spans="1:34">
      <c r="A82" s="3"/>
      <c r="B82" s="75" t="s">
        <v>359</v>
      </c>
      <c r="C82" s="182">
        <f t="shared" ref="C82:E82" si="120">C83-SUM(C65:C81)</f>
        <v>11</v>
      </c>
      <c r="D82" s="182">
        <f t="shared" si="120"/>
        <v>24</v>
      </c>
      <c r="E82" s="182">
        <f t="shared" si="120"/>
        <v>75</v>
      </c>
      <c r="F82" s="40">
        <f>F83-SUM(F65:F81)</f>
        <v>35</v>
      </c>
      <c r="G82" s="613">
        <f>G83-SUM(G65:G81)</f>
        <v>33</v>
      </c>
      <c r="H82" s="383">
        <f t="shared" ref="H82" si="121">H83-SUM(H65:H81)</f>
        <v>3</v>
      </c>
      <c r="I82" s="620">
        <f t="shared" ref="I82" si="122">I83-SUM(I65:I81)</f>
        <v>13</v>
      </c>
      <c r="J82" s="226">
        <f>ROUND(((I82/H82-1)*100), 1)</f>
        <v>333.3</v>
      </c>
      <c r="K82" s="307">
        <f>K83-SUM(K65:K81)</f>
        <v>2</v>
      </c>
      <c r="L82" s="383">
        <f>L83-SUM(L65:L81)</f>
        <v>10</v>
      </c>
      <c r="M82" s="571">
        <f>ROUND(((L82/K82-1)*100), 1)</f>
        <v>400</v>
      </c>
      <c r="N82" s="383">
        <f>N83-SUM(N65:N81)</f>
        <v>5</v>
      </c>
      <c r="O82" s="383">
        <f t="shared" ref="O82" si="123">O83-SUM(O65:O81)</f>
        <v>23</v>
      </c>
      <c r="P82" s="235">
        <f>ROUND(((O82/N82-1)*100), 1)</f>
        <v>360</v>
      </c>
      <c r="Q82" s="307">
        <f>Q83-SUM(Q65:Q81)</f>
        <v>4</v>
      </c>
      <c r="R82" s="383">
        <f>R83-SUM(R65:R81)</f>
        <v>12</v>
      </c>
      <c r="S82" s="235">
        <f>ROUND(((R82/Q82-1)*100), 1)</f>
        <v>200</v>
      </c>
      <c r="T82" s="383">
        <f>T83-SUM(T65:T81)</f>
        <v>9</v>
      </c>
      <c r="U82" s="383">
        <f t="shared" ref="U82" si="124">U83-SUM(U65:U81)</f>
        <v>35</v>
      </c>
      <c r="V82" s="235">
        <f>ROUND(((U82/T82-1)*100), 1)</f>
        <v>288.89999999999998</v>
      </c>
      <c r="W82" s="307">
        <f>W83-SUM(W65:W81)</f>
        <v>3</v>
      </c>
      <c r="X82" s="383">
        <f>X83-SUM(X65:X81)</f>
        <v>17</v>
      </c>
      <c r="Y82" s="235">
        <f>ROUND(((X82/W82-1)*100), 1)</f>
        <v>466.7</v>
      </c>
      <c r="Z82" s="620">
        <f>Z83-SUM(Z65:Z81)</f>
        <v>12</v>
      </c>
      <c r="AA82" s="620">
        <f t="shared" ref="AA82" si="125">AA83-SUM(AA65:AA81)</f>
        <v>52</v>
      </c>
      <c r="AB82" s="235">
        <f>ROUND(((AA82/Z82-1)*100), 1)</f>
        <v>333.3</v>
      </c>
      <c r="AC82" s="307">
        <f>AC83-SUM(AC65:AC81)</f>
        <v>6</v>
      </c>
      <c r="AD82" s="383">
        <f>AD83-SUM(AD65:AD81)</f>
        <v>18</v>
      </c>
      <c r="AE82" s="235">
        <f>ROUND(((AD82/AC82-1)*100), 1)</f>
        <v>200</v>
      </c>
      <c r="AF82" s="383">
        <f>AF83-SUM(AF65:AF81)</f>
        <v>18</v>
      </c>
      <c r="AG82" s="383">
        <f t="shared" ref="AG82" si="126">AG83-SUM(AG65:AG81)</f>
        <v>70</v>
      </c>
      <c r="AH82" s="235">
        <f>ROUND(((AG82/AF82-1)*100), 1)</f>
        <v>288.89999999999998</v>
      </c>
    </row>
    <row r="83" spans="1:34">
      <c r="A83" s="8"/>
      <c r="B83" s="63" t="s">
        <v>101</v>
      </c>
      <c r="C83" s="308">
        <v>4142</v>
      </c>
      <c r="D83" s="308">
        <v>2845</v>
      </c>
      <c r="E83" s="308">
        <v>1970</v>
      </c>
      <c r="F83" s="42">
        <v>2387</v>
      </c>
      <c r="G83" s="356">
        <v>2679</v>
      </c>
      <c r="H83" s="373">
        <v>173</v>
      </c>
      <c r="I83" s="621">
        <v>187</v>
      </c>
      <c r="J83" s="227">
        <f>ROUND(((I83/H83-1)*100), 1)</f>
        <v>8.1</v>
      </c>
      <c r="K83" s="372">
        <f>N83-H83</f>
        <v>145</v>
      </c>
      <c r="L83" s="373">
        <f>O83-I83</f>
        <v>259</v>
      </c>
      <c r="M83" s="236">
        <f>ROUND(((L83/K83-1)*100), 1)</f>
        <v>78.599999999999994</v>
      </c>
      <c r="N83" s="373">
        <v>318</v>
      </c>
      <c r="O83" s="373">
        <v>446</v>
      </c>
      <c r="P83" s="236">
        <f>ROUND(((O83/N83-1)*100), 1)</f>
        <v>40.299999999999997</v>
      </c>
      <c r="Q83" s="372">
        <f>T83-N83</f>
        <v>251</v>
      </c>
      <c r="R83" s="373">
        <f>U83-O83</f>
        <v>261</v>
      </c>
      <c r="S83" s="236">
        <f>ROUND(((R83/Q83-1)*100), 1)</f>
        <v>4</v>
      </c>
      <c r="T83" s="373">
        <v>569</v>
      </c>
      <c r="U83" s="373">
        <v>707</v>
      </c>
      <c r="V83" s="236">
        <f>ROUND(((U83/T83-1)*100), 1)</f>
        <v>24.3</v>
      </c>
      <c r="W83" s="372">
        <f>Z83-T83</f>
        <v>175</v>
      </c>
      <c r="X83" s="373">
        <f>AA83-U83</f>
        <v>320</v>
      </c>
      <c r="Y83" s="236">
        <f>ROUND(((X83/W83-1)*100), 1)</f>
        <v>82.9</v>
      </c>
      <c r="Z83" s="621">
        <v>744</v>
      </c>
      <c r="AA83" s="621">
        <v>1027</v>
      </c>
      <c r="AB83" s="236">
        <f>ROUND(((AA83/Z83-1)*100), 1)</f>
        <v>38</v>
      </c>
      <c r="AC83" s="372">
        <f>AF83-Z83</f>
        <v>189</v>
      </c>
      <c r="AD83" s="373">
        <f>AG83-AA83</f>
        <v>275</v>
      </c>
      <c r="AE83" s="236">
        <f>ROUND(((AD83/AC83-1)*100), 1)</f>
        <v>45.5</v>
      </c>
      <c r="AF83" s="373">
        <v>933</v>
      </c>
      <c r="AG83" s="373">
        <v>1302</v>
      </c>
      <c r="AH83" s="236">
        <f>ROUND(((AG83/AF83-1)*100), 1)</f>
        <v>39.5</v>
      </c>
    </row>
    <row r="84" spans="1:34">
      <c r="A84" s="64" t="s">
        <v>111</v>
      </c>
      <c r="B84" s="278"/>
      <c r="C84" s="66"/>
      <c r="D84" s="66"/>
      <c r="E84" s="224"/>
      <c r="F84" s="224"/>
      <c r="G84" s="526"/>
      <c r="H84" s="526"/>
      <c r="I84" s="622"/>
      <c r="J84" s="230"/>
      <c r="K84" s="224"/>
      <c r="L84" s="224"/>
      <c r="M84" s="230"/>
      <c r="N84" s="526"/>
      <c r="O84" s="526"/>
      <c r="P84" s="230"/>
      <c r="Q84" s="224"/>
      <c r="R84" s="224"/>
      <c r="S84" s="230"/>
      <c r="T84" s="526"/>
      <c r="U84" s="526"/>
      <c r="V84" s="230"/>
      <c r="W84" s="224"/>
      <c r="X84" s="224"/>
      <c r="Y84" s="230"/>
      <c r="Z84" s="622"/>
      <c r="AA84" s="622"/>
      <c r="AB84" s="230"/>
      <c r="AC84" s="224"/>
      <c r="AD84" s="224"/>
      <c r="AE84" s="230"/>
      <c r="AF84" s="526"/>
      <c r="AG84" s="526"/>
      <c r="AH84" s="230"/>
    </row>
    <row r="85" spans="1:34">
      <c r="K85" s="292"/>
      <c r="Q85" s="292"/>
      <c r="W85" s="292"/>
      <c r="AC85" s="292"/>
    </row>
    <row r="86" spans="1:34">
      <c r="A86" s="77" t="s">
        <v>123</v>
      </c>
      <c r="B86" s="241"/>
      <c r="C86" s="58"/>
      <c r="G86" s="58" t="s">
        <v>124</v>
      </c>
      <c r="H86" s="568"/>
      <c r="I86" s="625"/>
      <c r="J86" s="232"/>
      <c r="K86" s="267"/>
      <c r="L86" s="267"/>
      <c r="M86" s="232"/>
      <c r="N86" s="568"/>
      <c r="O86" s="568"/>
      <c r="P86" s="232"/>
      <c r="Q86" s="267"/>
      <c r="R86" s="267"/>
      <c r="S86" s="232"/>
      <c r="T86" s="568"/>
      <c r="U86" s="568"/>
      <c r="V86" s="232"/>
      <c r="W86" s="267"/>
      <c r="X86" s="267"/>
      <c r="Y86" s="232"/>
      <c r="Z86" s="625"/>
      <c r="AA86" s="625"/>
      <c r="AB86" s="232"/>
      <c r="AC86" s="267"/>
      <c r="AD86" s="267"/>
      <c r="AE86" s="232"/>
      <c r="AF86" s="568"/>
      <c r="AG86" s="568"/>
      <c r="AH86" s="232"/>
    </row>
    <row r="87" spans="1:34">
      <c r="A87" s="60"/>
      <c r="B87" s="26"/>
      <c r="C87" s="61"/>
      <c r="D87" s="61"/>
      <c r="E87" s="223"/>
      <c r="F87" s="223"/>
      <c r="G87" s="223"/>
      <c r="H87" s="223"/>
      <c r="I87" s="619"/>
      <c r="J87" s="229" t="s">
        <v>87</v>
      </c>
      <c r="K87" s="223"/>
      <c r="L87" s="223"/>
      <c r="M87" s="237"/>
      <c r="N87" s="223"/>
      <c r="O87" s="223"/>
      <c r="P87" s="237" t="s">
        <v>87</v>
      </c>
      <c r="Q87" s="223"/>
      <c r="R87" s="223"/>
      <c r="S87" s="237"/>
      <c r="T87" s="223"/>
      <c r="U87" s="223"/>
      <c r="V87" s="237" t="s">
        <v>87</v>
      </c>
      <c r="W87" s="223"/>
      <c r="X87" s="223"/>
      <c r="Y87" s="237"/>
      <c r="Z87" s="619"/>
      <c r="AA87" s="619"/>
      <c r="AB87" s="237" t="s">
        <v>87</v>
      </c>
      <c r="AC87" s="223"/>
      <c r="AD87" s="223"/>
      <c r="AE87" s="237"/>
      <c r="AF87" s="223"/>
      <c r="AG87" s="223"/>
      <c r="AH87" s="237" t="s">
        <v>87</v>
      </c>
    </row>
    <row r="88" spans="1:34">
      <c r="A88" s="839" t="s">
        <v>88</v>
      </c>
      <c r="B88" s="839"/>
      <c r="C88" s="838" t="s">
        <v>2</v>
      </c>
      <c r="D88" s="838" t="s">
        <v>3</v>
      </c>
      <c r="E88" s="838" t="s">
        <v>76</v>
      </c>
      <c r="F88" s="837" t="s">
        <v>294</v>
      </c>
      <c r="G88" s="838" t="s">
        <v>431</v>
      </c>
      <c r="H88" s="837" t="s">
        <v>33</v>
      </c>
      <c r="I88" s="838"/>
      <c r="J88" s="839"/>
      <c r="K88" s="837" t="s">
        <v>471</v>
      </c>
      <c r="L88" s="838"/>
      <c r="M88" s="839"/>
      <c r="N88" s="837" t="s">
        <v>472</v>
      </c>
      <c r="O88" s="838"/>
      <c r="P88" s="839"/>
      <c r="Q88" s="837" t="s">
        <v>477</v>
      </c>
      <c r="R88" s="838"/>
      <c r="S88" s="839"/>
      <c r="T88" s="837" t="s">
        <v>478</v>
      </c>
      <c r="U88" s="838"/>
      <c r="V88" s="839"/>
      <c r="W88" s="837" t="s">
        <v>484</v>
      </c>
      <c r="X88" s="838"/>
      <c r="Y88" s="839"/>
      <c r="Z88" s="837" t="s">
        <v>486</v>
      </c>
      <c r="AA88" s="838"/>
      <c r="AB88" s="839"/>
      <c r="AC88" s="837" t="s">
        <v>495</v>
      </c>
      <c r="AD88" s="838"/>
      <c r="AE88" s="839"/>
      <c r="AF88" s="837" t="s">
        <v>496</v>
      </c>
      <c r="AG88" s="838"/>
      <c r="AH88" s="839"/>
    </row>
    <row r="89" spans="1:34">
      <c r="A89" s="839"/>
      <c r="B89" s="839"/>
      <c r="C89" s="838"/>
      <c r="D89" s="838"/>
      <c r="E89" s="838"/>
      <c r="F89" s="837"/>
      <c r="G89" s="838"/>
      <c r="H89" s="535" t="s">
        <v>431</v>
      </c>
      <c r="I89" s="697" t="s">
        <v>503</v>
      </c>
      <c r="J89" s="531" t="s">
        <v>5</v>
      </c>
      <c r="K89" s="535" t="s">
        <v>431</v>
      </c>
      <c r="L89" s="533" t="s">
        <v>503</v>
      </c>
      <c r="M89" s="531" t="s">
        <v>5</v>
      </c>
      <c r="N89" s="535" t="s">
        <v>431</v>
      </c>
      <c r="O89" s="533" t="s">
        <v>503</v>
      </c>
      <c r="P89" s="531" t="s">
        <v>5</v>
      </c>
      <c r="Q89" s="535" t="s">
        <v>431</v>
      </c>
      <c r="R89" s="533" t="s">
        <v>503</v>
      </c>
      <c r="S89" s="531" t="s">
        <v>5</v>
      </c>
      <c r="T89" s="535" t="s">
        <v>431</v>
      </c>
      <c r="U89" s="533" t="s">
        <v>503</v>
      </c>
      <c r="V89" s="531" t="s">
        <v>5</v>
      </c>
      <c r="W89" s="535" t="s">
        <v>431</v>
      </c>
      <c r="X89" s="533" t="s">
        <v>503</v>
      </c>
      <c r="Y89" s="531" t="s">
        <v>5</v>
      </c>
      <c r="Z89" s="698" t="s">
        <v>431</v>
      </c>
      <c r="AA89" s="697" t="s">
        <v>503</v>
      </c>
      <c r="AB89" s="531" t="s">
        <v>5</v>
      </c>
      <c r="AC89" s="535" t="s">
        <v>431</v>
      </c>
      <c r="AD89" s="533" t="s">
        <v>503</v>
      </c>
      <c r="AE89" s="531" t="s">
        <v>5</v>
      </c>
      <c r="AF89" s="535" t="s">
        <v>431</v>
      </c>
      <c r="AG89" s="533" t="s">
        <v>503</v>
      </c>
      <c r="AH89" s="531" t="s">
        <v>5</v>
      </c>
    </row>
    <row r="90" spans="1:34">
      <c r="A90" s="7"/>
      <c r="B90" s="81" t="s">
        <v>356</v>
      </c>
      <c r="C90" s="183">
        <v>37746</v>
      </c>
      <c r="D90" s="183">
        <v>40052</v>
      </c>
      <c r="E90" s="183">
        <v>38225</v>
      </c>
      <c r="F90" s="91">
        <v>35228</v>
      </c>
      <c r="G90" s="183">
        <v>27167</v>
      </c>
      <c r="H90" s="384">
        <v>2921</v>
      </c>
      <c r="I90" s="626">
        <v>1891</v>
      </c>
      <c r="J90" s="225">
        <f t="shared" ref="J90:J110" si="127">ROUND(((I90/H90-1)*100), 1)</f>
        <v>-35.299999999999997</v>
      </c>
      <c r="K90" s="353">
        <f t="shared" ref="K90:K102" si="128">N90-H90</f>
        <v>3395</v>
      </c>
      <c r="L90" s="384">
        <f t="shared" ref="L90:L102" si="129">O90-I90</f>
        <v>3737</v>
      </c>
      <c r="M90" s="225">
        <f t="shared" ref="M90:M102" si="130">ROUND(((L90/K90-1)*100), 1)</f>
        <v>10.1</v>
      </c>
      <c r="N90" s="384">
        <v>6316</v>
      </c>
      <c r="O90" s="384">
        <v>5628</v>
      </c>
      <c r="P90" s="225">
        <f t="shared" ref="P90:P110" si="131">ROUND(((O90/N90-1)*100), 1)</f>
        <v>-10.9</v>
      </c>
      <c r="Q90" s="353">
        <f t="shared" ref="Q90:Q99" si="132">T90-N90</f>
        <v>2578</v>
      </c>
      <c r="R90" s="384">
        <f t="shared" ref="R90:R99" si="133">U90-O90</f>
        <v>2627</v>
      </c>
      <c r="S90" s="225">
        <f t="shared" ref="S90:S99" si="134">ROUND(((R90/Q90-1)*100), 1)</f>
        <v>1.9</v>
      </c>
      <c r="T90" s="384">
        <v>8894</v>
      </c>
      <c r="U90" s="384">
        <v>8255</v>
      </c>
      <c r="V90" s="225">
        <f t="shared" ref="V90:V111" si="135">ROUND(((U90/T90-1)*100), 1)</f>
        <v>-7.2</v>
      </c>
      <c r="W90" s="353">
        <f t="shared" ref="W90:W104" si="136">Z90-T90</f>
        <v>0</v>
      </c>
      <c r="X90" s="384">
        <f t="shared" ref="X90:X104" si="137">AA90-U90</f>
        <v>2780</v>
      </c>
      <c r="Y90" s="579">
        <v>0</v>
      </c>
      <c r="Z90" s="626">
        <v>8894</v>
      </c>
      <c r="AA90" s="626">
        <v>11035</v>
      </c>
      <c r="AB90" s="225">
        <f t="shared" ref="AB90:AB111" si="138">ROUND(((AA90/Z90-1)*100), 1)</f>
        <v>24.1</v>
      </c>
      <c r="AC90" s="353">
        <f t="shared" ref="AC90:AC103" si="139">AF90-Z90</f>
        <v>269</v>
      </c>
      <c r="AD90" s="384">
        <f t="shared" ref="AD90:AD103" si="140">AG90-AA90</f>
        <v>2760</v>
      </c>
      <c r="AE90" s="225">
        <f t="shared" ref="AE90:AE100" si="141">ROUND(((AD90/AC90-1)*100), 1)</f>
        <v>926</v>
      </c>
      <c r="AF90" s="384">
        <v>9163</v>
      </c>
      <c r="AG90" s="384">
        <v>13795</v>
      </c>
      <c r="AH90" s="225">
        <f t="shared" ref="AH90:AH105" si="142">ROUND(((AG90/AF90-1)*100), 1)</f>
        <v>50.6</v>
      </c>
    </row>
    <row r="91" spans="1:34">
      <c r="A91" s="3" t="s">
        <v>114</v>
      </c>
      <c r="B91" s="39" t="s">
        <v>363</v>
      </c>
      <c r="C91" s="182">
        <v>19032</v>
      </c>
      <c r="D91" s="182">
        <v>27646</v>
      </c>
      <c r="E91" s="613">
        <v>27199</v>
      </c>
      <c r="F91" s="677">
        <v>25528</v>
      </c>
      <c r="G91" s="613">
        <v>22283</v>
      </c>
      <c r="H91" s="383">
        <v>1696</v>
      </c>
      <c r="I91" s="620">
        <v>2055</v>
      </c>
      <c r="J91" s="226">
        <f t="shared" si="127"/>
        <v>21.2</v>
      </c>
      <c r="K91" s="307">
        <f t="shared" si="128"/>
        <v>1281</v>
      </c>
      <c r="L91" s="383">
        <f t="shared" si="129"/>
        <v>952</v>
      </c>
      <c r="M91" s="235">
        <f t="shared" si="130"/>
        <v>-25.7</v>
      </c>
      <c r="N91" s="383">
        <v>2977</v>
      </c>
      <c r="O91" s="383">
        <v>3007</v>
      </c>
      <c r="P91" s="235">
        <f t="shared" si="131"/>
        <v>1</v>
      </c>
      <c r="Q91" s="307">
        <f t="shared" si="132"/>
        <v>2212</v>
      </c>
      <c r="R91" s="383">
        <f t="shared" si="133"/>
        <v>1438</v>
      </c>
      <c r="S91" s="235">
        <f t="shared" si="134"/>
        <v>-35</v>
      </c>
      <c r="T91" s="383">
        <v>5189</v>
      </c>
      <c r="U91" s="383">
        <v>4445</v>
      </c>
      <c r="V91" s="235">
        <f t="shared" si="135"/>
        <v>-14.3</v>
      </c>
      <c r="W91" s="307">
        <f t="shared" si="136"/>
        <v>1362</v>
      </c>
      <c r="X91" s="383">
        <f t="shared" si="137"/>
        <v>1229</v>
      </c>
      <c r="Y91" s="235">
        <f t="shared" ref="Y91:Y109" si="143">ROUND(((X91/W91-1)*100), 1)</f>
        <v>-9.8000000000000007</v>
      </c>
      <c r="Z91" s="620">
        <v>6551</v>
      </c>
      <c r="AA91" s="620">
        <v>5674</v>
      </c>
      <c r="AB91" s="235">
        <f t="shared" si="138"/>
        <v>-13.4</v>
      </c>
      <c r="AC91" s="307">
        <f t="shared" si="139"/>
        <v>1058</v>
      </c>
      <c r="AD91" s="383">
        <f t="shared" si="140"/>
        <v>1597</v>
      </c>
      <c r="AE91" s="235">
        <f t="shared" si="141"/>
        <v>50.9</v>
      </c>
      <c r="AF91" s="383">
        <v>7609</v>
      </c>
      <c r="AG91" s="383">
        <v>7271</v>
      </c>
      <c r="AH91" s="235">
        <f t="shared" si="142"/>
        <v>-4.4000000000000004</v>
      </c>
    </row>
    <row r="92" spans="1:34">
      <c r="A92" s="3"/>
      <c r="B92" s="39" t="s">
        <v>362</v>
      </c>
      <c r="C92" s="182">
        <v>1941</v>
      </c>
      <c r="D92" s="182">
        <v>1597</v>
      </c>
      <c r="E92" s="613">
        <v>1623</v>
      </c>
      <c r="F92" s="677">
        <v>3671</v>
      </c>
      <c r="G92" s="613">
        <v>6441</v>
      </c>
      <c r="H92" s="383">
        <v>761</v>
      </c>
      <c r="I92" s="620">
        <v>601</v>
      </c>
      <c r="J92" s="226">
        <f t="shared" si="127"/>
        <v>-21</v>
      </c>
      <c r="K92" s="307">
        <f t="shared" si="128"/>
        <v>727</v>
      </c>
      <c r="L92" s="383">
        <f t="shared" si="129"/>
        <v>464</v>
      </c>
      <c r="M92" s="235">
        <f t="shared" si="130"/>
        <v>-36.200000000000003</v>
      </c>
      <c r="N92" s="383">
        <v>1488</v>
      </c>
      <c r="O92" s="383">
        <v>1065</v>
      </c>
      <c r="P92" s="235">
        <f t="shared" si="131"/>
        <v>-28.4</v>
      </c>
      <c r="Q92" s="307">
        <f t="shared" si="132"/>
        <v>991</v>
      </c>
      <c r="R92" s="383">
        <f t="shared" si="133"/>
        <v>318</v>
      </c>
      <c r="S92" s="235">
        <f t="shared" si="134"/>
        <v>-67.900000000000006</v>
      </c>
      <c r="T92" s="383">
        <v>2479</v>
      </c>
      <c r="U92" s="383">
        <v>1383</v>
      </c>
      <c r="V92" s="235">
        <f t="shared" si="135"/>
        <v>-44.2</v>
      </c>
      <c r="W92" s="307">
        <f t="shared" si="136"/>
        <v>916</v>
      </c>
      <c r="X92" s="383">
        <f t="shared" si="137"/>
        <v>359</v>
      </c>
      <c r="Y92" s="235">
        <f t="shared" si="143"/>
        <v>-60.8</v>
      </c>
      <c r="Z92" s="620">
        <v>3395</v>
      </c>
      <c r="AA92" s="620">
        <v>1742</v>
      </c>
      <c r="AB92" s="235">
        <f t="shared" si="138"/>
        <v>-48.7</v>
      </c>
      <c r="AC92" s="307">
        <f t="shared" si="139"/>
        <v>761</v>
      </c>
      <c r="AD92" s="383">
        <f t="shared" si="140"/>
        <v>352</v>
      </c>
      <c r="AE92" s="235">
        <f t="shared" si="141"/>
        <v>-53.7</v>
      </c>
      <c r="AF92" s="383">
        <v>4156</v>
      </c>
      <c r="AG92" s="383">
        <v>2094</v>
      </c>
      <c r="AH92" s="235">
        <f t="shared" si="142"/>
        <v>-49.6</v>
      </c>
    </row>
    <row r="93" spans="1:34">
      <c r="A93" s="3"/>
      <c r="B93" s="39" t="s">
        <v>375</v>
      </c>
      <c r="C93" s="182">
        <v>2151</v>
      </c>
      <c r="D93" s="182">
        <v>3037</v>
      </c>
      <c r="E93" s="613">
        <v>6617</v>
      </c>
      <c r="F93" s="677">
        <v>5279</v>
      </c>
      <c r="G93" s="613">
        <v>5133</v>
      </c>
      <c r="H93" s="383">
        <v>217</v>
      </c>
      <c r="I93" s="620">
        <v>86</v>
      </c>
      <c r="J93" s="226">
        <f t="shared" si="127"/>
        <v>-60.4</v>
      </c>
      <c r="K93" s="307">
        <f t="shared" si="128"/>
        <v>619</v>
      </c>
      <c r="L93" s="383">
        <f t="shared" si="129"/>
        <v>527</v>
      </c>
      <c r="M93" s="235">
        <f t="shared" si="130"/>
        <v>-14.9</v>
      </c>
      <c r="N93" s="383">
        <v>836</v>
      </c>
      <c r="O93" s="383">
        <v>613</v>
      </c>
      <c r="P93" s="235">
        <f t="shared" si="131"/>
        <v>-26.7</v>
      </c>
      <c r="Q93" s="307">
        <f t="shared" si="132"/>
        <v>637</v>
      </c>
      <c r="R93" s="383">
        <f t="shared" si="133"/>
        <v>388</v>
      </c>
      <c r="S93" s="235">
        <f t="shared" si="134"/>
        <v>-39.1</v>
      </c>
      <c r="T93" s="383">
        <v>1473</v>
      </c>
      <c r="U93" s="383">
        <v>1001</v>
      </c>
      <c r="V93" s="235">
        <f t="shared" si="135"/>
        <v>-32</v>
      </c>
      <c r="W93" s="307">
        <f t="shared" si="136"/>
        <v>355</v>
      </c>
      <c r="X93" s="383">
        <f t="shared" si="137"/>
        <v>740</v>
      </c>
      <c r="Y93" s="235">
        <f t="shared" si="143"/>
        <v>108.5</v>
      </c>
      <c r="Z93" s="620">
        <v>1828</v>
      </c>
      <c r="AA93" s="620">
        <v>1741</v>
      </c>
      <c r="AB93" s="235">
        <f t="shared" si="138"/>
        <v>-4.8</v>
      </c>
      <c r="AC93" s="307">
        <f t="shared" si="139"/>
        <v>430</v>
      </c>
      <c r="AD93" s="383">
        <f t="shared" si="140"/>
        <v>654</v>
      </c>
      <c r="AE93" s="235">
        <f t="shared" si="141"/>
        <v>52.1</v>
      </c>
      <c r="AF93" s="383">
        <v>2258</v>
      </c>
      <c r="AG93" s="383">
        <v>2395</v>
      </c>
      <c r="AH93" s="235">
        <f t="shared" si="142"/>
        <v>6.1</v>
      </c>
    </row>
    <row r="94" spans="1:34">
      <c r="A94" s="3"/>
      <c r="B94" s="39" t="s">
        <v>373</v>
      </c>
      <c r="C94" s="182">
        <v>7997</v>
      </c>
      <c r="D94" s="182">
        <v>11177</v>
      </c>
      <c r="E94" s="613">
        <v>13869</v>
      </c>
      <c r="F94" s="677">
        <v>7513</v>
      </c>
      <c r="G94" s="613">
        <v>4097</v>
      </c>
      <c r="H94" s="383">
        <v>338</v>
      </c>
      <c r="I94" s="620">
        <v>434</v>
      </c>
      <c r="J94" s="226">
        <f t="shared" si="127"/>
        <v>28.4</v>
      </c>
      <c r="K94" s="307">
        <f t="shared" si="128"/>
        <v>345</v>
      </c>
      <c r="L94" s="383">
        <f t="shared" si="129"/>
        <v>503</v>
      </c>
      <c r="M94" s="235">
        <f t="shared" si="130"/>
        <v>45.8</v>
      </c>
      <c r="N94" s="383">
        <v>683</v>
      </c>
      <c r="O94" s="383">
        <v>937</v>
      </c>
      <c r="P94" s="235">
        <f t="shared" si="131"/>
        <v>37.200000000000003</v>
      </c>
      <c r="Q94" s="307">
        <f t="shared" si="132"/>
        <v>473</v>
      </c>
      <c r="R94" s="383">
        <f t="shared" si="133"/>
        <v>603</v>
      </c>
      <c r="S94" s="235">
        <f t="shared" si="134"/>
        <v>27.5</v>
      </c>
      <c r="T94" s="383">
        <v>1156</v>
      </c>
      <c r="U94" s="383">
        <v>1540</v>
      </c>
      <c r="V94" s="235">
        <f t="shared" si="135"/>
        <v>33.200000000000003</v>
      </c>
      <c r="W94" s="307">
        <f t="shared" si="136"/>
        <v>365</v>
      </c>
      <c r="X94" s="383">
        <f t="shared" si="137"/>
        <v>423</v>
      </c>
      <c r="Y94" s="571">
        <f t="shared" si="143"/>
        <v>15.9</v>
      </c>
      <c r="Z94" s="620">
        <v>1521</v>
      </c>
      <c r="AA94" s="620">
        <v>1963</v>
      </c>
      <c r="AB94" s="235">
        <f t="shared" si="138"/>
        <v>29.1</v>
      </c>
      <c r="AC94" s="307">
        <f t="shared" si="139"/>
        <v>170</v>
      </c>
      <c r="AD94" s="383">
        <f t="shared" si="140"/>
        <v>626</v>
      </c>
      <c r="AE94" s="235">
        <f t="shared" si="141"/>
        <v>268.2</v>
      </c>
      <c r="AF94" s="383">
        <v>1691</v>
      </c>
      <c r="AG94" s="383">
        <v>2589</v>
      </c>
      <c r="AH94" s="235">
        <f t="shared" si="142"/>
        <v>53.1</v>
      </c>
    </row>
    <row r="95" spans="1:34">
      <c r="A95" s="3"/>
      <c r="B95" s="39" t="s">
        <v>45</v>
      </c>
      <c r="C95" s="182">
        <v>2042</v>
      </c>
      <c r="D95" s="182">
        <v>2109</v>
      </c>
      <c r="E95" s="613">
        <v>1082</v>
      </c>
      <c r="F95" s="677">
        <v>3322</v>
      </c>
      <c r="G95" s="613">
        <v>2755</v>
      </c>
      <c r="H95" s="383">
        <v>172</v>
      </c>
      <c r="I95" s="620">
        <v>573</v>
      </c>
      <c r="J95" s="226">
        <f t="shared" si="127"/>
        <v>233.1</v>
      </c>
      <c r="K95" s="307">
        <f t="shared" si="128"/>
        <v>393</v>
      </c>
      <c r="L95" s="383">
        <f t="shared" si="129"/>
        <v>612</v>
      </c>
      <c r="M95" s="235">
        <f t="shared" si="130"/>
        <v>55.7</v>
      </c>
      <c r="N95" s="383">
        <v>565</v>
      </c>
      <c r="O95" s="383">
        <v>1185</v>
      </c>
      <c r="P95" s="235">
        <f t="shared" si="131"/>
        <v>109.7</v>
      </c>
      <c r="Q95" s="307">
        <f t="shared" si="132"/>
        <v>679</v>
      </c>
      <c r="R95" s="383">
        <f t="shared" si="133"/>
        <v>632</v>
      </c>
      <c r="S95" s="235">
        <f t="shared" si="134"/>
        <v>-6.9</v>
      </c>
      <c r="T95" s="383">
        <v>1244</v>
      </c>
      <c r="U95" s="383">
        <v>1817</v>
      </c>
      <c r="V95" s="235">
        <f t="shared" si="135"/>
        <v>46.1</v>
      </c>
      <c r="W95" s="307">
        <f t="shared" si="136"/>
        <v>400</v>
      </c>
      <c r="X95" s="383">
        <f t="shared" si="137"/>
        <v>851</v>
      </c>
      <c r="Y95" s="571">
        <f t="shared" si="143"/>
        <v>112.8</v>
      </c>
      <c r="Z95" s="620">
        <v>1644</v>
      </c>
      <c r="AA95" s="620">
        <v>2668</v>
      </c>
      <c r="AB95" s="235">
        <f t="shared" si="138"/>
        <v>62.3</v>
      </c>
      <c r="AC95" s="307">
        <f t="shared" si="139"/>
        <v>405</v>
      </c>
      <c r="AD95" s="383">
        <f t="shared" si="140"/>
        <v>247</v>
      </c>
      <c r="AE95" s="235">
        <f t="shared" si="141"/>
        <v>-39</v>
      </c>
      <c r="AF95" s="383">
        <v>2049</v>
      </c>
      <c r="AG95" s="383">
        <v>2915</v>
      </c>
      <c r="AH95" s="235">
        <f t="shared" si="142"/>
        <v>42.3</v>
      </c>
    </row>
    <row r="96" spans="1:34">
      <c r="A96" s="3"/>
      <c r="B96" s="39" t="s">
        <v>376</v>
      </c>
      <c r="C96" s="182">
        <v>1917</v>
      </c>
      <c r="D96" s="182">
        <v>1122</v>
      </c>
      <c r="E96" s="613">
        <v>2004</v>
      </c>
      <c r="F96" s="677">
        <v>3487</v>
      </c>
      <c r="G96" s="613">
        <v>2589</v>
      </c>
      <c r="H96" s="383">
        <v>309</v>
      </c>
      <c r="I96" s="620">
        <v>200</v>
      </c>
      <c r="J96" s="226">
        <f t="shared" si="127"/>
        <v>-35.299999999999997</v>
      </c>
      <c r="K96" s="307">
        <f t="shared" si="128"/>
        <v>200</v>
      </c>
      <c r="L96" s="383">
        <f t="shared" si="129"/>
        <v>201</v>
      </c>
      <c r="M96" s="235">
        <f t="shared" si="130"/>
        <v>0.5</v>
      </c>
      <c r="N96" s="383">
        <v>509</v>
      </c>
      <c r="O96" s="383">
        <v>401</v>
      </c>
      <c r="P96" s="235">
        <f t="shared" si="131"/>
        <v>-21.2</v>
      </c>
      <c r="Q96" s="307">
        <f t="shared" si="132"/>
        <v>204</v>
      </c>
      <c r="R96" s="383">
        <f t="shared" si="133"/>
        <v>200</v>
      </c>
      <c r="S96" s="235">
        <f t="shared" si="134"/>
        <v>-2</v>
      </c>
      <c r="T96" s="383">
        <v>713</v>
      </c>
      <c r="U96" s="383">
        <v>601</v>
      </c>
      <c r="V96" s="235">
        <f t="shared" si="135"/>
        <v>-15.7</v>
      </c>
      <c r="W96" s="307">
        <f t="shared" si="136"/>
        <v>243</v>
      </c>
      <c r="X96" s="383">
        <f t="shared" si="137"/>
        <v>0</v>
      </c>
      <c r="Y96" s="571">
        <f t="shared" si="143"/>
        <v>-100</v>
      </c>
      <c r="Z96" s="620">
        <v>956</v>
      </c>
      <c r="AA96" s="620">
        <v>601</v>
      </c>
      <c r="AB96" s="235">
        <f t="shared" si="138"/>
        <v>-37.1</v>
      </c>
      <c r="AC96" s="307">
        <f t="shared" si="139"/>
        <v>200</v>
      </c>
      <c r="AD96" s="383">
        <f t="shared" si="140"/>
        <v>0</v>
      </c>
      <c r="AE96" s="235">
        <f t="shared" si="141"/>
        <v>-100</v>
      </c>
      <c r="AF96" s="383">
        <v>1156</v>
      </c>
      <c r="AG96" s="383">
        <v>601</v>
      </c>
      <c r="AH96" s="235">
        <f t="shared" si="142"/>
        <v>-48</v>
      </c>
    </row>
    <row r="97" spans="1:34">
      <c r="A97" s="3"/>
      <c r="B97" s="39" t="s">
        <v>51</v>
      </c>
      <c r="C97" s="182">
        <v>1534</v>
      </c>
      <c r="D97" s="182">
        <v>2523</v>
      </c>
      <c r="E97" s="613">
        <v>1937</v>
      </c>
      <c r="F97" s="677">
        <v>2066</v>
      </c>
      <c r="G97" s="613">
        <v>2195</v>
      </c>
      <c r="H97" s="383">
        <v>273</v>
      </c>
      <c r="I97" s="620">
        <v>159</v>
      </c>
      <c r="J97" s="226">
        <f t="shared" si="127"/>
        <v>-41.8</v>
      </c>
      <c r="K97" s="307">
        <f t="shared" si="128"/>
        <v>274</v>
      </c>
      <c r="L97" s="383">
        <f t="shared" si="129"/>
        <v>212</v>
      </c>
      <c r="M97" s="235">
        <f t="shared" si="130"/>
        <v>-22.6</v>
      </c>
      <c r="N97" s="383">
        <v>547</v>
      </c>
      <c r="O97" s="383">
        <v>371</v>
      </c>
      <c r="P97" s="235">
        <f t="shared" si="131"/>
        <v>-32.200000000000003</v>
      </c>
      <c r="Q97" s="307">
        <f t="shared" si="132"/>
        <v>223</v>
      </c>
      <c r="R97" s="383">
        <f t="shared" si="133"/>
        <v>233</v>
      </c>
      <c r="S97" s="235">
        <f t="shared" si="134"/>
        <v>4.5</v>
      </c>
      <c r="T97" s="383">
        <v>770</v>
      </c>
      <c r="U97" s="383">
        <v>604</v>
      </c>
      <c r="V97" s="571">
        <f t="shared" si="135"/>
        <v>-21.6</v>
      </c>
      <c r="W97" s="307">
        <f t="shared" si="136"/>
        <v>318</v>
      </c>
      <c r="X97" s="383">
        <f t="shared" si="137"/>
        <v>104</v>
      </c>
      <c r="Y97" s="571">
        <f t="shared" si="143"/>
        <v>-67.3</v>
      </c>
      <c r="Z97" s="620">
        <v>1088</v>
      </c>
      <c r="AA97" s="620">
        <v>708</v>
      </c>
      <c r="AB97" s="571">
        <f t="shared" si="138"/>
        <v>-34.9</v>
      </c>
      <c r="AC97" s="307">
        <f t="shared" si="139"/>
        <v>201</v>
      </c>
      <c r="AD97" s="383">
        <f t="shared" si="140"/>
        <v>102</v>
      </c>
      <c r="AE97" s="235">
        <f t="shared" si="141"/>
        <v>-49.3</v>
      </c>
      <c r="AF97" s="383">
        <v>1289</v>
      </c>
      <c r="AG97" s="383">
        <v>810</v>
      </c>
      <c r="AH97" s="235">
        <f t="shared" si="142"/>
        <v>-37.200000000000003</v>
      </c>
    </row>
    <row r="98" spans="1:34">
      <c r="A98" s="3"/>
      <c r="B98" s="39" t="s">
        <v>378</v>
      </c>
      <c r="C98" s="182">
        <v>1173</v>
      </c>
      <c r="D98" s="182">
        <v>55</v>
      </c>
      <c r="E98" s="613">
        <v>100</v>
      </c>
      <c r="F98" s="677">
        <v>70</v>
      </c>
      <c r="G98" s="613">
        <v>2110</v>
      </c>
      <c r="H98" s="383">
        <v>8</v>
      </c>
      <c r="I98" s="620">
        <v>247</v>
      </c>
      <c r="J98" s="226">
        <f t="shared" si="127"/>
        <v>2987.5</v>
      </c>
      <c r="K98" s="307">
        <f t="shared" si="128"/>
        <v>146</v>
      </c>
      <c r="L98" s="383">
        <f t="shared" si="129"/>
        <v>158</v>
      </c>
      <c r="M98" s="235">
        <f t="shared" si="130"/>
        <v>8.1999999999999993</v>
      </c>
      <c r="N98" s="383">
        <v>154</v>
      </c>
      <c r="O98" s="383">
        <v>405</v>
      </c>
      <c r="P98" s="235">
        <f t="shared" si="131"/>
        <v>163</v>
      </c>
      <c r="Q98" s="307">
        <f t="shared" si="132"/>
        <v>121</v>
      </c>
      <c r="R98" s="383">
        <f t="shared" si="133"/>
        <v>160</v>
      </c>
      <c r="S98" s="235">
        <f t="shared" si="134"/>
        <v>32.200000000000003</v>
      </c>
      <c r="T98" s="383">
        <v>275</v>
      </c>
      <c r="U98" s="383">
        <v>565</v>
      </c>
      <c r="V98" s="571">
        <f t="shared" si="135"/>
        <v>105.5</v>
      </c>
      <c r="W98" s="307">
        <f t="shared" si="136"/>
        <v>143</v>
      </c>
      <c r="X98" s="383">
        <f t="shared" si="137"/>
        <v>11</v>
      </c>
      <c r="Y98" s="571">
        <f t="shared" si="143"/>
        <v>-92.3</v>
      </c>
      <c r="Z98" s="620">
        <v>418</v>
      </c>
      <c r="AA98" s="620">
        <v>576</v>
      </c>
      <c r="AB98" s="571">
        <f t="shared" si="138"/>
        <v>37.799999999999997</v>
      </c>
      <c r="AC98" s="307">
        <f t="shared" si="139"/>
        <v>197</v>
      </c>
      <c r="AD98" s="383">
        <f t="shared" si="140"/>
        <v>79</v>
      </c>
      <c r="AE98" s="235">
        <f t="shared" si="141"/>
        <v>-59.9</v>
      </c>
      <c r="AF98" s="383">
        <v>615</v>
      </c>
      <c r="AG98" s="383">
        <v>655</v>
      </c>
      <c r="AH98" s="235">
        <f t="shared" si="142"/>
        <v>6.5</v>
      </c>
    </row>
    <row r="99" spans="1:34">
      <c r="A99" s="3"/>
      <c r="B99" s="39" t="s">
        <v>49</v>
      </c>
      <c r="C99" s="182">
        <v>2304</v>
      </c>
      <c r="D99" s="182">
        <v>1416</v>
      </c>
      <c r="E99" s="613">
        <v>2833</v>
      </c>
      <c r="F99" s="677">
        <v>430</v>
      </c>
      <c r="G99" s="613">
        <v>1755</v>
      </c>
      <c r="H99" s="383">
        <v>116</v>
      </c>
      <c r="I99" s="620">
        <v>14</v>
      </c>
      <c r="J99" s="226">
        <f t="shared" si="127"/>
        <v>-87.9</v>
      </c>
      <c r="K99" s="307">
        <f t="shared" si="128"/>
        <v>14</v>
      </c>
      <c r="L99" s="383">
        <f t="shared" si="129"/>
        <v>3</v>
      </c>
      <c r="M99" s="235">
        <f t="shared" si="130"/>
        <v>-78.599999999999994</v>
      </c>
      <c r="N99" s="383">
        <v>130</v>
      </c>
      <c r="O99" s="383">
        <v>17</v>
      </c>
      <c r="P99" s="235">
        <f t="shared" si="131"/>
        <v>-86.9</v>
      </c>
      <c r="Q99" s="307">
        <f t="shared" si="132"/>
        <v>115</v>
      </c>
      <c r="R99" s="383">
        <f t="shared" si="133"/>
        <v>12</v>
      </c>
      <c r="S99" s="235">
        <f t="shared" si="134"/>
        <v>-89.6</v>
      </c>
      <c r="T99" s="383">
        <v>245</v>
      </c>
      <c r="U99" s="383">
        <v>29</v>
      </c>
      <c r="V99" s="571">
        <f t="shared" si="135"/>
        <v>-88.2</v>
      </c>
      <c r="W99" s="307">
        <f t="shared" si="136"/>
        <v>6</v>
      </c>
      <c r="X99" s="383">
        <f t="shared" si="137"/>
        <v>423</v>
      </c>
      <c r="Y99" s="571">
        <f t="shared" si="143"/>
        <v>6950</v>
      </c>
      <c r="Z99" s="620">
        <v>251</v>
      </c>
      <c r="AA99" s="620">
        <v>452</v>
      </c>
      <c r="AB99" s="571">
        <f t="shared" si="138"/>
        <v>80.099999999999994</v>
      </c>
      <c r="AC99" s="307">
        <f t="shared" si="139"/>
        <v>4</v>
      </c>
      <c r="AD99" s="383">
        <f t="shared" si="140"/>
        <v>124</v>
      </c>
      <c r="AE99" s="235">
        <f t="shared" si="141"/>
        <v>3000</v>
      </c>
      <c r="AF99" s="383">
        <v>255</v>
      </c>
      <c r="AG99" s="383">
        <v>576</v>
      </c>
      <c r="AH99" s="235">
        <f t="shared" si="142"/>
        <v>125.9</v>
      </c>
    </row>
    <row r="100" spans="1:34">
      <c r="A100" s="3"/>
      <c r="B100" s="39" t="s">
        <v>360</v>
      </c>
      <c r="C100" s="182">
        <v>829</v>
      </c>
      <c r="D100" s="182">
        <v>581</v>
      </c>
      <c r="E100" s="613">
        <v>612</v>
      </c>
      <c r="F100" s="677">
        <v>548</v>
      </c>
      <c r="G100" s="613">
        <v>694</v>
      </c>
      <c r="H100" s="383">
        <v>59</v>
      </c>
      <c r="I100" s="620">
        <v>83</v>
      </c>
      <c r="J100" s="571">
        <f t="shared" si="127"/>
        <v>40.700000000000003</v>
      </c>
      <c r="K100" s="307">
        <f t="shared" si="128"/>
        <v>48</v>
      </c>
      <c r="L100" s="383">
        <f t="shared" si="129"/>
        <v>60</v>
      </c>
      <c r="M100" s="235">
        <f t="shared" si="130"/>
        <v>25</v>
      </c>
      <c r="N100" s="383">
        <v>107</v>
      </c>
      <c r="O100" s="383">
        <v>143</v>
      </c>
      <c r="P100" s="235">
        <f t="shared" si="131"/>
        <v>33.6</v>
      </c>
      <c r="Q100" s="483">
        <f t="shared" ref="Q100:Q114" si="144">T100-N100</f>
        <v>89</v>
      </c>
      <c r="R100" s="383">
        <f t="shared" ref="R100:R114" si="145">U100-O100</f>
        <v>131</v>
      </c>
      <c r="S100" s="571">
        <f t="shared" ref="S100:S111" si="146">ROUND(((R100/Q100-1)*100), 1)</f>
        <v>47.2</v>
      </c>
      <c r="T100" s="383">
        <v>196</v>
      </c>
      <c r="U100" s="383">
        <v>274</v>
      </c>
      <c r="V100" s="571">
        <f t="shared" si="135"/>
        <v>39.799999999999997</v>
      </c>
      <c r="W100" s="307">
        <f t="shared" si="136"/>
        <v>98</v>
      </c>
      <c r="X100" s="383">
        <f t="shared" si="137"/>
        <v>54</v>
      </c>
      <c r="Y100" s="571">
        <f t="shared" si="143"/>
        <v>-44.9</v>
      </c>
      <c r="Z100" s="620">
        <v>294</v>
      </c>
      <c r="AA100" s="620">
        <v>328</v>
      </c>
      <c r="AB100" s="571">
        <f t="shared" si="138"/>
        <v>11.6</v>
      </c>
      <c r="AC100" s="307">
        <f t="shared" si="139"/>
        <v>23</v>
      </c>
      <c r="AD100" s="383">
        <f t="shared" si="140"/>
        <v>72</v>
      </c>
      <c r="AE100" s="571">
        <f t="shared" si="141"/>
        <v>213</v>
      </c>
      <c r="AF100" s="383">
        <v>317</v>
      </c>
      <c r="AG100" s="383">
        <v>400</v>
      </c>
      <c r="AH100" s="235">
        <f t="shared" si="142"/>
        <v>26.2</v>
      </c>
    </row>
    <row r="101" spans="1:34">
      <c r="A101" s="3"/>
      <c r="B101" s="39" t="s">
        <v>377</v>
      </c>
      <c r="C101" s="182">
        <v>930</v>
      </c>
      <c r="D101" s="182">
        <v>378</v>
      </c>
      <c r="E101" s="613">
        <v>1155</v>
      </c>
      <c r="F101" s="677">
        <v>623</v>
      </c>
      <c r="G101" s="613">
        <v>637</v>
      </c>
      <c r="H101" s="383">
        <v>98</v>
      </c>
      <c r="I101" s="620">
        <v>66</v>
      </c>
      <c r="J101" s="571">
        <f t="shared" si="127"/>
        <v>-32.700000000000003</v>
      </c>
      <c r="K101" s="307">
        <f t="shared" si="128"/>
        <v>78</v>
      </c>
      <c r="L101" s="383">
        <f t="shared" si="129"/>
        <v>110</v>
      </c>
      <c r="M101" s="235">
        <f t="shared" si="130"/>
        <v>41</v>
      </c>
      <c r="N101" s="383">
        <v>176</v>
      </c>
      <c r="O101" s="383">
        <v>176</v>
      </c>
      <c r="P101" s="235">
        <f t="shared" si="131"/>
        <v>0</v>
      </c>
      <c r="Q101" s="483">
        <f t="shared" si="144"/>
        <v>24</v>
      </c>
      <c r="R101" s="383">
        <f t="shared" si="145"/>
        <v>22</v>
      </c>
      <c r="S101" s="571">
        <f t="shared" si="146"/>
        <v>-8.3000000000000007</v>
      </c>
      <c r="T101" s="383">
        <v>200</v>
      </c>
      <c r="U101" s="383">
        <v>198</v>
      </c>
      <c r="V101" s="571">
        <f t="shared" si="135"/>
        <v>-1</v>
      </c>
      <c r="W101" s="307">
        <f t="shared" si="136"/>
        <v>19</v>
      </c>
      <c r="X101" s="383">
        <f t="shared" si="137"/>
        <v>176</v>
      </c>
      <c r="Y101" s="571">
        <f t="shared" si="143"/>
        <v>826.3</v>
      </c>
      <c r="Z101" s="620">
        <v>219</v>
      </c>
      <c r="AA101" s="620">
        <v>374</v>
      </c>
      <c r="AB101" s="571">
        <f t="shared" si="138"/>
        <v>70.8</v>
      </c>
      <c r="AC101" s="307">
        <f t="shared" si="139"/>
        <v>0</v>
      </c>
      <c r="AD101" s="383">
        <f t="shared" si="140"/>
        <v>0</v>
      </c>
      <c r="AE101" s="579">
        <v>0</v>
      </c>
      <c r="AF101" s="383">
        <v>219</v>
      </c>
      <c r="AG101" s="383">
        <v>374</v>
      </c>
      <c r="AH101" s="235">
        <f t="shared" si="142"/>
        <v>70.8</v>
      </c>
    </row>
    <row r="102" spans="1:34">
      <c r="A102" s="3"/>
      <c r="B102" s="39" t="s">
        <v>370</v>
      </c>
      <c r="C102" s="182">
        <v>1529</v>
      </c>
      <c r="D102" s="182">
        <v>1442</v>
      </c>
      <c r="E102" s="613">
        <v>1804</v>
      </c>
      <c r="F102" s="677">
        <v>1202</v>
      </c>
      <c r="G102" s="613">
        <v>587</v>
      </c>
      <c r="H102" s="383">
        <v>40</v>
      </c>
      <c r="I102" s="620">
        <v>203</v>
      </c>
      <c r="J102" s="571">
        <f t="shared" si="127"/>
        <v>407.5</v>
      </c>
      <c r="K102" s="307">
        <f t="shared" si="128"/>
        <v>2</v>
      </c>
      <c r="L102" s="383">
        <f t="shared" si="129"/>
        <v>101</v>
      </c>
      <c r="M102" s="235">
        <f t="shared" si="130"/>
        <v>4950</v>
      </c>
      <c r="N102" s="383">
        <v>42</v>
      </c>
      <c r="O102" s="383">
        <v>304</v>
      </c>
      <c r="P102" s="235">
        <f t="shared" si="131"/>
        <v>623.79999999999995</v>
      </c>
      <c r="Q102" s="483">
        <f t="shared" si="144"/>
        <v>100</v>
      </c>
      <c r="R102" s="383">
        <f t="shared" si="145"/>
        <v>101</v>
      </c>
      <c r="S102" s="571">
        <f t="shared" si="146"/>
        <v>1</v>
      </c>
      <c r="T102" s="383">
        <v>142</v>
      </c>
      <c r="U102" s="383">
        <v>405</v>
      </c>
      <c r="V102" s="571">
        <f t="shared" si="135"/>
        <v>185.2</v>
      </c>
      <c r="W102" s="307">
        <f t="shared" si="136"/>
        <v>102</v>
      </c>
      <c r="X102" s="383">
        <f t="shared" si="137"/>
        <v>101</v>
      </c>
      <c r="Y102" s="571">
        <f t="shared" si="143"/>
        <v>-1</v>
      </c>
      <c r="Z102" s="620">
        <v>244</v>
      </c>
      <c r="AA102" s="620">
        <v>506</v>
      </c>
      <c r="AB102" s="571">
        <f t="shared" si="138"/>
        <v>107.4</v>
      </c>
      <c r="AC102" s="307">
        <f t="shared" si="139"/>
        <v>1</v>
      </c>
      <c r="AD102" s="383">
        <f t="shared" si="140"/>
        <v>102</v>
      </c>
      <c r="AE102" s="235">
        <f>ROUND(((AD102/AC102-1)*100), 1)</f>
        <v>10100</v>
      </c>
      <c r="AF102" s="383">
        <v>245</v>
      </c>
      <c r="AG102" s="383">
        <v>608</v>
      </c>
      <c r="AH102" s="235">
        <f t="shared" si="142"/>
        <v>148.19999999999999</v>
      </c>
    </row>
    <row r="103" spans="1:34">
      <c r="A103" s="3"/>
      <c r="B103" s="39" t="s">
        <v>374</v>
      </c>
      <c r="C103" s="182">
        <v>4758</v>
      </c>
      <c r="D103" s="182">
        <v>6807</v>
      </c>
      <c r="E103" s="613">
        <v>6745</v>
      </c>
      <c r="F103" s="677">
        <v>5610</v>
      </c>
      <c r="G103" s="613">
        <v>552</v>
      </c>
      <c r="H103" s="383">
        <v>100</v>
      </c>
      <c r="I103" s="620">
        <v>0</v>
      </c>
      <c r="J103" s="571">
        <f t="shared" si="127"/>
        <v>-100</v>
      </c>
      <c r="K103" s="483">
        <f t="shared" ref="K103:K111" si="147">N103-H103</f>
        <v>265</v>
      </c>
      <c r="L103" s="383">
        <f t="shared" ref="L103:L111" si="148">O103-I103</f>
        <v>0</v>
      </c>
      <c r="M103" s="571">
        <f t="shared" ref="M103:M108" si="149">ROUND(((L103/K103-1)*100), 1)</f>
        <v>-100</v>
      </c>
      <c r="N103" s="383">
        <v>365</v>
      </c>
      <c r="O103" s="383">
        <v>0</v>
      </c>
      <c r="P103" s="571">
        <f t="shared" si="131"/>
        <v>-100</v>
      </c>
      <c r="Q103" s="483">
        <f t="shared" si="144"/>
        <v>159</v>
      </c>
      <c r="R103" s="383">
        <f t="shared" si="145"/>
        <v>7</v>
      </c>
      <c r="S103" s="571">
        <f t="shared" si="146"/>
        <v>-95.6</v>
      </c>
      <c r="T103" s="383">
        <v>524</v>
      </c>
      <c r="U103" s="383">
        <v>7</v>
      </c>
      <c r="V103" s="571">
        <f t="shared" si="135"/>
        <v>-98.7</v>
      </c>
      <c r="W103" s="307">
        <f t="shared" si="136"/>
        <v>0</v>
      </c>
      <c r="X103" s="383">
        <f t="shared" si="137"/>
        <v>5</v>
      </c>
      <c r="Y103" s="579">
        <v>0</v>
      </c>
      <c r="Z103" s="620">
        <v>524</v>
      </c>
      <c r="AA103" s="620">
        <v>12</v>
      </c>
      <c r="AB103" s="571">
        <f t="shared" si="138"/>
        <v>-97.7</v>
      </c>
      <c r="AC103" s="307">
        <f t="shared" si="139"/>
        <v>7</v>
      </c>
      <c r="AD103" s="383">
        <f t="shared" si="140"/>
        <v>1</v>
      </c>
      <c r="AE103" s="235">
        <f>ROUND(((AD103/AC103-1)*100), 1)</f>
        <v>-85.7</v>
      </c>
      <c r="AF103" s="383">
        <v>531</v>
      </c>
      <c r="AG103" s="383">
        <v>13</v>
      </c>
      <c r="AH103" s="235">
        <f t="shared" si="142"/>
        <v>-97.6</v>
      </c>
    </row>
    <row r="104" spans="1:34" s="167" customFormat="1">
      <c r="A104" s="309"/>
      <c r="B104" s="29" t="s">
        <v>433</v>
      </c>
      <c r="C104" s="310">
        <v>19</v>
      </c>
      <c r="D104" s="310">
        <v>64</v>
      </c>
      <c r="E104" s="310">
        <v>271</v>
      </c>
      <c r="F104" s="678">
        <v>235</v>
      </c>
      <c r="G104" s="613">
        <v>470</v>
      </c>
      <c r="H104" s="385">
        <v>64</v>
      </c>
      <c r="I104" s="627">
        <v>0</v>
      </c>
      <c r="J104" s="571">
        <f t="shared" si="127"/>
        <v>-100</v>
      </c>
      <c r="K104" s="483">
        <f t="shared" si="147"/>
        <v>64</v>
      </c>
      <c r="L104" s="383">
        <f t="shared" si="148"/>
        <v>0</v>
      </c>
      <c r="M104" s="571">
        <f t="shared" si="149"/>
        <v>-100</v>
      </c>
      <c r="N104" s="385">
        <v>128</v>
      </c>
      <c r="O104" s="385">
        <v>0</v>
      </c>
      <c r="P104" s="571">
        <f t="shared" si="131"/>
        <v>-100</v>
      </c>
      <c r="Q104" s="483">
        <f t="shared" si="144"/>
        <v>0</v>
      </c>
      <c r="R104" s="383">
        <f t="shared" si="145"/>
        <v>43</v>
      </c>
      <c r="S104" s="579">
        <v>0</v>
      </c>
      <c r="T104" s="385">
        <v>128</v>
      </c>
      <c r="U104" s="383">
        <v>43</v>
      </c>
      <c r="V104" s="571">
        <f t="shared" si="135"/>
        <v>-66.400000000000006</v>
      </c>
      <c r="W104" s="321">
        <f t="shared" si="136"/>
        <v>43</v>
      </c>
      <c r="X104" s="385">
        <f t="shared" si="137"/>
        <v>0</v>
      </c>
      <c r="Y104" s="571">
        <f t="shared" si="143"/>
        <v>-100</v>
      </c>
      <c r="Z104" s="627">
        <v>171</v>
      </c>
      <c r="AA104" s="620">
        <v>43</v>
      </c>
      <c r="AB104" s="571">
        <f t="shared" si="138"/>
        <v>-74.900000000000006</v>
      </c>
      <c r="AC104" s="483">
        <f t="shared" ref="AC104:AC112" si="150">AF104-Z104</f>
        <v>0</v>
      </c>
      <c r="AD104" s="383">
        <f t="shared" ref="AD104:AD112" si="151">AG104-AA104</f>
        <v>0</v>
      </c>
      <c r="AE104" s="579">
        <v>0</v>
      </c>
      <c r="AF104" s="385">
        <v>171</v>
      </c>
      <c r="AG104" s="383">
        <v>43</v>
      </c>
      <c r="AH104" s="571">
        <f t="shared" si="142"/>
        <v>-74.900000000000006</v>
      </c>
    </row>
    <row r="105" spans="1:34" s="167" customFormat="1">
      <c r="A105" s="309"/>
      <c r="B105" s="610" t="s">
        <v>513</v>
      </c>
      <c r="C105" s="310">
        <v>20</v>
      </c>
      <c r="D105" s="310">
        <v>30</v>
      </c>
      <c r="E105" s="310">
        <v>30</v>
      </c>
      <c r="F105" s="678">
        <v>30</v>
      </c>
      <c r="G105" s="613">
        <v>251</v>
      </c>
      <c r="H105" s="385">
        <v>0</v>
      </c>
      <c r="I105" s="627">
        <v>27</v>
      </c>
      <c r="J105" s="579">
        <v>0</v>
      </c>
      <c r="K105" s="483">
        <f t="shared" si="147"/>
        <v>0</v>
      </c>
      <c r="L105" s="383">
        <f t="shared" si="148"/>
        <v>25</v>
      </c>
      <c r="M105" s="583">
        <v>0</v>
      </c>
      <c r="N105" s="385">
        <v>0</v>
      </c>
      <c r="O105" s="385">
        <v>52</v>
      </c>
      <c r="P105" s="579">
        <v>0</v>
      </c>
      <c r="Q105" s="483">
        <f t="shared" si="144"/>
        <v>10</v>
      </c>
      <c r="R105" s="383">
        <f t="shared" si="145"/>
        <v>52</v>
      </c>
      <c r="S105" s="571">
        <f t="shared" si="146"/>
        <v>420</v>
      </c>
      <c r="T105" s="385">
        <v>10</v>
      </c>
      <c r="U105" s="383">
        <v>104</v>
      </c>
      <c r="V105" s="571">
        <f t="shared" si="135"/>
        <v>940</v>
      </c>
      <c r="W105" s="484"/>
      <c r="X105" s="385"/>
      <c r="Y105" s="579">
        <v>0</v>
      </c>
      <c r="Z105" s="627">
        <v>10</v>
      </c>
      <c r="AA105" s="620">
        <v>173</v>
      </c>
      <c r="AB105" s="571">
        <f t="shared" si="138"/>
        <v>1630</v>
      </c>
      <c r="AC105" s="483">
        <f t="shared" si="150"/>
        <v>0</v>
      </c>
      <c r="AD105" s="383">
        <f t="shared" si="151"/>
        <v>62</v>
      </c>
      <c r="AE105" s="579">
        <v>0</v>
      </c>
      <c r="AF105" s="385">
        <v>10</v>
      </c>
      <c r="AG105" s="383">
        <v>235</v>
      </c>
      <c r="AH105" s="571">
        <f t="shared" si="142"/>
        <v>2250</v>
      </c>
    </row>
    <row r="106" spans="1:34" s="167" customFormat="1">
      <c r="A106" s="309"/>
      <c r="B106" s="611" t="s">
        <v>361</v>
      </c>
      <c r="C106" s="613">
        <v>631</v>
      </c>
      <c r="D106" s="613">
        <v>659</v>
      </c>
      <c r="E106" s="613">
        <v>444</v>
      </c>
      <c r="F106" s="677">
        <v>440</v>
      </c>
      <c r="G106" s="613">
        <v>181</v>
      </c>
      <c r="H106" s="383">
        <v>41</v>
      </c>
      <c r="I106" s="620">
        <v>20</v>
      </c>
      <c r="J106" s="571">
        <f t="shared" si="127"/>
        <v>-51.2</v>
      </c>
      <c r="K106" s="483">
        <f t="shared" si="147"/>
        <v>7</v>
      </c>
      <c r="L106" s="383">
        <f t="shared" si="148"/>
        <v>28</v>
      </c>
      <c r="M106" s="571">
        <f t="shared" si="149"/>
        <v>300</v>
      </c>
      <c r="N106" s="383">
        <v>48</v>
      </c>
      <c r="O106" s="383">
        <v>48</v>
      </c>
      <c r="P106" s="571">
        <f t="shared" si="131"/>
        <v>0</v>
      </c>
      <c r="Q106" s="483">
        <f t="shared" si="144"/>
        <v>24</v>
      </c>
      <c r="R106" s="383">
        <f t="shared" si="145"/>
        <v>36</v>
      </c>
      <c r="S106" s="571">
        <f t="shared" si="146"/>
        <v>50</v>
      </c>
      <c r="T106" s="383">
        <v>72</v>
      </c>
      <c r="U106" s="383">
        <v>84</v>
      </c>
      <c r="V106" s="571">
        <f t="shared" si="135"/>
        <v>16.7</v>
      </c>
      <c r="W106" s="483">
        <f t="shared" ref="W106:W114" si="152">Z106-T106</f>
        <v>21</v>
      </c>
      <c r="X106" s="383">
        <f t="shared" ref="X106:X114" si="153">AA106-U106</f>
        <v>52</v>
      </c>
      <c r="Y106" s="571">
        <f t="shared" si="143"/>
        <v>147.6</v>
      </c>
      <c r="Z106" s="620">
        <v>93</v>
      </c>
      <c r="AA106" s="620">
        <v>136</v>
      </c>
      <c r="AB106" s="571">
        <f t="shared" si="138"/>
        <v>46.2</v>
      </c>
      <c r="AC106" s="483">
        <f t="shared" si="150"/>
        <v>15</v>
      </c>
      <c r="AD106" s="383">
        <f t="shared" si="151"/>
        <v>8</v>
      </c>
      <c r="AE106" s="571">
        <f t="shared" ref="AE106:AE112" si="154">ROUND(((AD106/AC106-1)*100), 1)</f>
        <v>-46.7</v>
      </c>
      <c r="AF106" s="383">
        <v>108</v>
      </c>
      <c r="AG106" s="383">
        <v>144</v>
      </c>
      <c r="AH106" s="571">
        <f t="shared" ref="AH106:AH112" si="155">ROUND(((AG106/AF106-1)*100), 1)</f>
        <v>33.299999999999997</v>
      </c>
    </row>
    <row r="107" spans="1:34">
      <c r="A107" s="3"/>
      <c r="B107" s="610" t="s">
        <v>380</v>
      </c>
      <c r="C107" s="310">
        <v>1808</v>
      </c>
      <c r="D107" s="310">
        <v>506</v>
      </c>
      <c r="E107" s="310">
        <v>21</v>
      </c>
      <c r="F107" s="678">
        <v>59</v>
      </c>
      <c r="G107" s="613">
        <v>156</v>
      </c>
      <c r="H107" s="385">
        <v>20</v>
      </c>
      <c r="I107" s="627">
        <v>0</v>
      </c>
      <c r="J107" s="571">
        <f t="shared" si="127"/>
        <v>-100</v>
      </c>
      <c r="K107" s="483">
        <f t="shared" si="147"/>
        <v>0</v>
      </c>
      <c r="L107" s="383">
        <f t="shared" si="148"/>
        <v>20</v>
      </c>
      <c r="M107" s="583">
        <v>0</v>
      </c>
      <c r="N107" s="385">
        <v>20</v>
      </c>
      <c r="O107" s="385">
        <v>20</v>
      </c>
      <c r="P107" s="571">
        <f t="shared" si="131"/>
        <v>0</v>
      </c>
      <c r="Q107" s="483">
        <f t="shared" si="144"/>
        <v>0</v>
      </c>
      <c r="R107" s="383">
        <f t="shared" si="145"/>
        <v>0</v>
      </c>
      <c r="S107" s="579">
        <v>0</v>
      </c>
      <c r="T107" s="385">
        <v>20</v>
      </c>
      <c r="U107" s="383">
        <v>20</v>
      </c>
      <c r="V107" s="571">
        <f t="shared" si="135"/>
        <v>0</v>
      </c>
      <c r="W107" s="484">
        <f t="shared" si="152"/>
        <v>0</v>
      </c>
      <c r="X107" s="385">
        <f t="shared" si="153"/>
        <v>0</v>
      </c>
      <c r="Y107" s="579">
        <v>0</v>
      </c>
      <c r="Z107" s="627">
        <v>20</v>
      </c>
      <c r="AA107" s="620">
        <v>20</v>
      </c>
      <c r="AB107" s="571">
        <f t="shared" si="138"/>
        <v>0</v>
      </c>
      <c r="AC107" s="483">
        <f t="shared" si="150"/>
        <v>0</v>
      </c>
      <c r="AD107" s="383">
        <f t="shared" si="151"/>
        <v>37</v>
      </c>
      <c r="AE107" s="579">
        <v>0</v>
      </c>
      <c r="AF107" s="385">
        <v>20</v>
      </c>
      <c r="AG107" s="383">
        <v>57</v>
      </c>
      <c r="AH107" s="235">
        <f t="shared" si="155"/>
        <v>185</v>
      </c>
    </row>
    <row r="108" spans="1:34">
      <c r="A108" s="3"/>
      <c r="B108" s="39" t="s">
        <v>365</v>
      </c>
      <c r="C108" s="182">
        <v>122</v>
      </c>
      <c r="D108" s="182">
        <v>129</v>
      </c>
      <c r="E108" s="613">
        <v>111</v>
      </c>
      <c r="F108" s="677">
        <v>95</v>
      </c>
      <c r="G108" s="613">
        <v>115</v>
      </c>
      <c r="H108" s="383">
        <v>4</v>
      </c>
      <c r="I108" s="620">
        <v>7</v>
      </c>
      <c r="J108" s="571">
        <f t="shared" si="127"/>
        <v>75</v>
      </c>
      <c r="K108" s="483">
        <f t="shared" si="147"/>
        <v>9</v>
      </c>
      <c r="L108" s="383">
        <f t="shared" si="148"/>
        <v>8</v>
      </c>
      <c r="M108" s="571">
        <f t="shared" si="149"/>
        <v>-11.1</v>
      </c>
      <c r="N108" s="383">
        <v>13</v>
      </c>
      <c r="O108" s="383">
        <v>15</v>
      </c>
      <c r="P108" s="571">
        <f t="shared" si="131"/>
        <v>15.4</v>
      </c>
      <c r="Q108" s="483">
        <f t="shared" si="144"/>
        <v>14</v>
      </c>
      <c r="R108" s="383">
        <f t="shared" si="145"/>
        <v>14</v>
      </c>
      <c r="S108" s="571">
        <f t="shared" si="146"/>
        <v>0</v>
      </c>
      <c r="T108" s="383">
        <v>27</v>
      </c>
      <c r="U108" s="383">
        <v>29</v>
      </c>
      <c r="V108" s="571">
        <f t="shared" si="135"/>
        <v>7.4</v>
      </c>
      <c r="W108" s="307">
        <f t="shared" si="152"/>
        <v>11</v>
      </c>
      <c r="X108" s="383">
        <f t="shared" si="153"/>
        <v>14</v>
      </c>
      <c r="Y108" s="571">
        <f t="shared" si="143"/>
        <v>27.3</v>
      </c>
      <c r="Z108" s="620">
        <v>38</v>
      </c>
      <c r="AA108" s="620">
        <v>43</v>
      </c>
      <c r="AB108" s="571">
        <f t="shared" si="138"/>
        <v>13.2</v>
      </c>
      <c r="AC108" s="483">
        <f t="shared" si="150"/>
        <v>17</v>
      </c>
      <c r="AD108" s="383">
        <f t="shared" si="151"/>
        <v>38</v>
      </c>
      <c r="AE108" s="571">
        <f t="shared" si="154"/>
        <v>123.5</v>
      </c>
      <c r="AF108" s="383">
        <v>55</v>
      </c>
      <c r="AG108" s="383">
        <v>81</v>
      </c>
      <c r="AH108" s="235">
        <f t="shared" si="155"/>
        <v>47.3</v>
      </c>
    </row>
    <row r="109" spans="1:34">
      <c r="A109" s="3"/>
      <c r="B109" s="39" t="s">
        <v>371</v>
      </c>
      <c r="C109" s="182">
        <v>69</v>
      </c>
      <c r="D109" s="182">
        <v>77</v>
      </c>
      <c r="E109" s="613">
        <v>67</v>
      </c>
      <c r="F109" s="677">
        <v>74</v>
      </c>
      <c r="G109" s="613">
        <v>70</v>
      </c>
      <c r="H109" s="383">
        <v>7</v>
      </c>
      <c r="I109" s="620">
        <v>9</v>
      </c>
      <c r="J109" s="571">
        <f t="shared" si="127"/>
        <v>28.6</v>
      </c>
      <c r="K109" s="483">
        <f t="shared" si="147"/>
        <v>0</v>
      </c>
      <c r="L109" s="383">
        <f t="shared" si="148"/>
        <v>7</v>
      </c>
      <c r="M109" s="583">
        <v>0</v>
      </c>
      <c r="N109" s="383">
        <v>7</v>
      </c>
      <c r="O109" s="383">
        <v>16</v>
      </c>
      <c r="P109" s="571">
        <f t="shared" si="131"/>
        <v>128.6</v>
      </c>
      <c r="Q109" s="483">
        <f t="shared" si="144"/>
        <v>13</v>
      </c>
      <c r="R109" s="383">
        <f t="shared" si="145"/>
        <v>8</v>
      </c>
      <c r="S109" s="571">
        <f t="shared" si="146"/>
        <v>-38.5</v>
      </c>
      <c r="T109" s="383">
        <v>20</v>
      </c>
      <c r="U109" s="383">
        <v>24</v>
      </c>
      <c r="V109" s="571">
        <f t="shared" si="135"/>
        <v>20</v>
      </c>
      <c r="W109" s="307">
        <f t="shared" si="152"/>
        <v>7</v>
      </c>
      <c r="X109" s="383">
        <f t="shared" si="153"/>
        <v>5</v>
      </c>
      <c r="Y109" s="571">
        <f t="shared" si="143"/>
        <v>-28.6</v>
      </c>
      <c r="Z109" s="620">
        <v>27</v>
      </c>
      <c r="AA109" s="620">
        <v>29</v>
      </c>
      <c r="AB109" s="571">
        <f t="shared" si="138"/>
        <v>7.4</v>
      </c>
      <c r="AC109" s="483">
        <f t="shared" si="150"/>
        <v>10</v>
      </c>
      <c r="AD109" s="383">
        <f t="shared" si="151"/>
        <v>5</v>
      </c>
      <c r="AE109" s="571">
        <f t="shared" si="154"/>
        <v>-50</v>
      </c>
      <c r="AF109" s="383">
        <v>37</v>
      </c>
      <c r="AG109" s="383">
        <v>34</v>
      </c>
      <c r="AH109" s="235">
        <f t="shared" si="155"/>
        <v>-8.1</v>
      </c>
    </row>
    <row r="110" spans="1:34">
      <c r="A110" s="3"/>
      <c r="B110" s="611" t="s">
        <v>357</v>
      </c>
      <c r="C110" s="613">
        <v>96</v>
      </c>
      <c r="D110" s="613">
        <v>121</v>
      </c>
      <c r="E110" s="613">
        <v>102</v>
      </c>
      <c r="F110" s="677">
        <v>38</v>
      </c>
      <c r="G110" s="613">
        <v>50</v>
      </c>
      <c r="H110" s="383">
        <v>5</v>
      </c>
      <c r="I110" s="620">
        <v>0</v>
      </c>
      <c r="J110" s="571">
        <f t="shared" si="127"/>
        <v>-100</v>
      </c>
      <c r="K110" s="483">
        <f t="shared" si="147"/>
        <v>0</v>
      </c>
      <c r="L110" s="383">
        <f t="shared" si="148"/>
        <v>0</v>
      </c>
      <c r="M110" s="583">
        <v>0</v>
      </c>
      <c r="N110" s="383">
        <v>5</v>
      </c>
      <c r="O110" s="383">
        <v>0</v>
      </c>
      <c r="P110" s="571">
        <f t="shared" si="131"/>
        <v>-100</v>
      </c>
      <c r="Q110" s="483">
        <f t="shared" si="144"/>
        <v>9</v>
      </c>
      <c r="R110" s="383">
        <f t="shared" si="145"/>
        <v>7</v>
      </c>
      <c r="S110" s="571">
        <f t="shared" si="146"/>
        <v>-22.2</v>
      </c>
      <c r="T110" s="383">
        <v>14</v>
      </c>
      <c r="U110" s="383">
        <v>7</v>
      </c>
      <c r="V110" s="571">
        <f t="shared" si="135"/>
        <v>-50</v>
      </c>
      <c r="W110" s="483">
        <f t="shared" si="152"/>
        <v>0</v>
      </c>
      <c r="X110" s="383">
        <f t="shared" si="153"/>
        <v>0</v>
      </c>
      <c r="Y110" s="579">
        <v>0</v>
      </c>
      <c r="Z110" s="620">
        <v>14</v>
      </c>
      <c r="AA110" s="620">
        <v>7</v>
      </c>
      <c r="AB110" s="571">
        <f t="shared" si="138"/>
        <v>-50</v>
      </c>
      <c r="AC110" s="483">
        <f t="shared" si="150"/>
        <v>6</v>
      </c>
      <c r="AD110" s="383">
        <f t="shared" si="151"/>
        <v>6</v>
      </c>
      <c r="AE110" s="571">
        <f t="shared" si="154"/>
        <v>0</v>
      </c>
      <c r="AF110" s="383">
        <v>20</v>
      </c>
      <c r="AG110" s="383">
        <v>13</v>
      </c>
      <c r="AH110" s="235">
        <f t="shared" si="155"/>
        <v>-35</v>
      </c>
    </row>
    <row r="111" spans="1:34">
      <c r="A111" s="3"/>
      <c r="B111" s="39" t="s">
        <v>65</v>
      </c>
      <c r="C111" s="182">
        <v>93</v>
      </c>
      <c r="D111" s="182">
        <v>71</v>
      </c>
      <c r="E111" s="613">
        <v>45</v>
      </c>
      <c r="F111" s="677">
        <v>6</v>
      </c>
      <c r="G111" s="613">
        <v>19</v>
      </c>
      <c r="H111" s="383">
        <v>0</v>
      </c>
      <c r="I111" s="620">
        <v>0</v>
      </c>
      <c r="J111" s="579">
        <v>0</v>
      </c>
      <c r="K111" s="483">
        <f t="shared" si="147"/>
        <v>0</v>
      </c>
      <c r="L111" s="383">
        <f t="shared" si="148"/>
        <v>2</v>
      </c>
      <c r="M111" s="583">
        <v>0</v>
      </c>
      <c r="N111" s="383">
        <v>0</v>
      </c>
      <c r="O111" s="383">
        <v>2</v>
      </c>
      <c r="P111" s="579">
        <v>0</v>
      </c>
      <c r="Q111" s="483">
        <f t="shared" si="144"/>
        <v>4</v>
      </c>
      <c r="R111" s="383">
        <f t="shared" si="145"/>
        <v>8</v>
      </c>
      <c r="S111" s="571">
        <f t="shared" si="146"/>
        <v>100</v>
      </c>
      <c r="T111" s="383">
        <v>4</v>
      </c>
      <c r="U111" s="383">
        <v>10</v>
      </c>
      <c r="V111" s="571">
        <f t="shared" si="135"/>
        <v>150</v>
      </c>
      <c r="W111" s="307">
        <f t="shared" si="152"/>
        <v>0</v>
      </c>
      <c r="X111" s="383">
        <f t="shared" si="153"/>
        <v>0</v>
      </c>
      <c r="Y111" s="579">
        <v>0</v>
      </c>
      <c r="Z111" s="620">
        <v>4</v>
      </c>
      <c r="AA111" s="620">
        <v>10</v>
      </c>
      <c r="AB111" s="571">
        <f t="shared" si="138"/>
        <v>150</v>
      </c>
      <c r="AC111" s="483">
        <f t="shared" si="150"/>
        <v>1</v>
      </c>
      <c r="AD111" s="383">
        <f t="shared" si="151"/>
        <v>0</v>
      </c>
      <c r="AE111" s="571">
        <f t="shared" si="154"/>
        <v>-100</v>
      </c>
      <c r="AF111" s="383">
        <v>5</v>
      </c>
      <c r="AG111" s="383">
        <v>10</v>
      </c>
      <c r="AH111" s="235">
        <f t="shared" si="155"/>
        <v>100</v>
      </c>
    </row>
    <row r="112" spans="1:34">
      <c r="A112" s="3"/>
      <c r="B112" s="39" t="s">
        <v>367</v>
      </c>
      <c r="C112" s="182">
        <v>123</v>
      </c>
      <c r="D112" s="182">
        <v>168</v>
      </c>
      <c r="E112" s="613">
        <v>143</v>
      </c>
      <c r="F112" s="677">
        <v>14</v>
      </c>
      <c r="G112" s="613">
        <v>3</v>
      </c>
      <c r="H112" s="383">
        <v>0</v>
      </c>
      <c r="I112" s="620">
        <v>0</v>
      </c>
      <c r="J112" s="171">
        <v>0</v>
      </c>
      <c r="K112" s="307">
        <f t="shared" ref="K112:K114" si="156">N112-H112</f>
        <v>0</v>
      </c>
      <c r="L112" s="383">
        <f t="shared" ref="L112:L114" si="157">O112-I112</f>
        <v>0</v>
      </c>
      <c r="M112" s="465">
        <v>0</v>
      </c>
      <c r="N112" s="383">
        <v>0</v>
      </c>
      <c r="O112" s="383">
        <v>0</v>
      </c>
      <c r="P112" s="171">
        <v>0</v>
      </c>
      <c r="Q112" s="483">
        <f t="shared" si="144"/>
        <v>0</v>
      </c>
      <c r="R112" s="383">
        <f t="shared" si="145"/>
        <v>0</v>
      </c>
      <c r="S112" s="579">
        <v>0</v>
      </c>
      <c r="T112" s="383">
        <v>0</v>
      </c>
      <c r="U112" s="383">
        <v>0</v>
      </c>
      <c r="V112" s="579">
        <v>0</v>
      </c>
      <c r="W112" s="307">
        <f t="shared" si="152"/>
        <v>0</v>
      </c>
      <c r="X112" s="383">
        <f t="shared" si="153"/>
        <v>0</v>
      </c>
      <c r="Y112" s="579">
        <v>0</v>
      </c>
      <c r="Z112" s="620">
        <v>0</v>
      </c>
      <c r="AA112" s="620">
        <v>0</v>
      </c>
      <c r="AB112" s="579">
        <v>0</v>
      </c>
      <c r="AC112" s="483">
        <f t="shared" si="150"/>
        <v>2</v>
      </c>
      <c r="AD112" s="383">
        <f t="shared" si="151"/>
        <v>0</v>
      </c>
      <c r="AE112" s="571">
        <f t="shared" si="154"/>
        <v>-100</v>
      </c>
      <c r="AF112" s="383">
        <v>2</v>
      </c>
      <c r="AG112" s="383">
        <v>0</v>
      </c>
      <c r="AH112" s="235">
        <f t="shared" si="155"/>
        <v>-100</v>
      </c>
    </row>
    <row r="113" spans="1:34">
      <c r="A113" s="3"/>
      <c r="B113" s="610" t="s">
        <v>432</v>
      </c>
      <c r="C113" s="310">
        <v>34</v>
      </c>
      <c r="D113" s="310">
        <v>38</v>
      </c>
      <c r="E113" s="310">
        <v>32</v>
      </c>
      <c r="F113" s="678">
        <v>357</v>
      </c>
      <c r="G113" s="613">
        <v>0</v>
      </c>
      <c r="H113" s="385">
        <v>0</v>
      </c>
      <c r="I113" s="627">
        <v>0</v>
      </c>
      <c r="J113" s="579">
        <v>0</v>
      </c>
      <c r="K113" s="484">
        <f t="shared" si="156"/>
        <v>0</v>
      </c>
      <c r="L113" s="385">
        <f t="shared" si="157"/>
        <v>0</v>
      </c>
      <c r="M113" s="583">
        <v>0</v>
      </c>
      <c r="N113" s="385">
        <v>0</v>
      </c>
      <c r="O113" s="385">
        <v>0</v>
      </c>
      <c r="P113" s="579">
        <v>0</v>
      </c>
      <c r="Q113" s="483">
        <f t="shared" si="144"/>
        <v>0</v>
      </c>
      <c r="R113" s="383">
        <f t="shared" si="145"/>
        <v>0</v>
      </c>
      <c r="S113" s="579">
        <v>0</v>
      </c>
      <c r="T113" s="385">
        <v>0</v>
      </c>
      <c r="U113" s="383">
        <v>0</v>
      </c>
      <c r="V113" s="579">
        <v>0</v>
      </c>
      <c r="W113" s="484">
        <f t="shared" si="152"/>
        <v>0</v>
      </c>
      <c r="X113" s="385">
        <f t="shared" si="153"/>
        <v>0</v>
      </c>
      <c r="Y113" s="579">
        <v>0</v>
      </c>
      <c r="Z113" s="627">
        <v>0</v>
      </c>
      <c r="AA113" s="620">
        <v>0</v>
      </c>
      <c r="AB113" s="579">
        <v>0</v>
      </c>
      <c r="AC113" s="484">
        <f t="shared" ref="AC113:AC114" si="158">AF113-Z113</f>
        <v>0</v>
      </c>
      <c r="AD113" s="385">
        <f t="shared" ref="AD113:AD114" si="159">AG113-AA113</f>
        <v>0</v>
      </c>
      <c r="AE113" s="462">
        <v>0</v>
      </c>
      <c r="AF113" s="385">
        <v>0</v>
      </c>
      <c r="AG113" s="383">
        <v>0</v>
      </c>
      <c r="AH113" s="579">
        <v>0</v>
      </c>
    </row>
    <row r="114" spans="1:34">
      <c r="A114" s="3"/>
      <c r="B114" s="39" t="s">
        <v>379</v>
      </c>
      <c r="C114" s="182">
        <v>112</v>
      </c>
      <c r="D114" s="182">
        <v>128</v>
      </c>
      <c r="E114" s="613">
        <v>83</v>
      </c>
      <c r="F114" s="677">
        <v>0</v>
      </c>
      <c r="G114" s="613">
        <v>0</v>
      </c>
      <c r="H114" s="383">
        <v>0</v>
      </c>
      <c r="I114" s="620">
        <v>0</v>
      </c>
      <c r="J114" s="171">
        <v>0</v>
      </c>
      <c r="K114" s="307">
        <f t="shared" si="156"/>
        <v>0</v>
      </c>
      <c r="L114" s="383">
        <f t="shared" si="157"/>
        <v>0</v>
      </c>
      <c r="M114" s="171">
        <v>0</v>
      </c>
      <c r="N114" s="383">
        <v>0</v>
      </c>
      <c r="O114" s="383">
        <v>0</v>
      </c>
      <c r="P114" s="171">
        <v>0</v>
      </c>
      <c r="Q114" s="483">
        <f t="shared" si="144"/>
        <v>0</v>
      </c>
      <c r="R114" s="383">
        <f t="shared" si="145"/>
        <v>0</v>
      </c>
      <c r="S114" s="579">
        <v>0</v>
      </c>
      <c r="T114" s="383">
        <v>0</v>
      </c>
      <c r="U114" s="383">
        <v>0</v>
      </c>
      <c r="V114" s="579">
        <v>0</v>
      </c>
      <c r="W114" s="307">
        <f t="shared" si="152"/>
        <v>0</v>
      </c>
      <c r="X114" s="383">
        <f t="shared" si="153"/>
        <v>0</v>
      </c>
      <c r="Y114" s="462">
        <v>0</v>
      </c>
      <c r="Z114" s="620">
        <v>0</v>
      </c>
      <c r="AA114" s="620">
        <v>0</v>
      </c>
      <c r="AB114" s="462">
        <v>0</v>
      </c>
      <c r="AC114" s="307">
        <f t="shared" si="158"/>
        <v>0</v>
      </c>
      <c r="AD114" s="383">
        <f t="shared" si="159"/>
        <v>0</v>
      </c>
      <c r="AE114" s="462">
        <v>0</v>
      </c>
      <c r="AF114" s="383">
        <v>0</v>
      </c>
      <c r="AG114" s="383">
        <v>0</v>
      </c>
      <c r="AH114" s="462">
        <v>0</v>
      </c>
    </row>
    <row r="115" spans="1:34" s="167" customFormat="1">
      <c r="A115" s="309"/>
      <c r="B115" s="29" t="s">
        <v>359</v>
      </c>
      <c r="C115" s="310">
        <f t="shared" ref="C115:I115" si="160">C116-SUM(C90:C114)</f>
        <v>2324</v>
      </c>
      <c r="D115" s="310">
        <f t="shared" si="160"/>
        <v>2391</v>
      </c>
      <c r="E115" s="354">
        <f t="shared" si="160"/>
        <v>1124</v>
      </c>
      <c r="F115" s="420">
        <f t="shared" si="160"/>
        <v>476</v>
      </c>
      <c r="G115" s="310">
        <f t="shared" si="160"/>
        <v>374</v>
      </c>
      <c r="H115" s="385">
        <f t="shared" si="160"/>
        <v>27</v>
      </c>
      <c r="I115" s="627">
        <f t="shared" si="160"/>
        <v>35</v>
      </c>
      <c r="J115" s="312">
        <f t="shared" ref="J115:J116" si="161">ROUND(((I115/H115-1)*100), 1)</f>
        <v>29.6</v>
      </c>
      <c r="K115" s="321">
        <f>K116-SUM(K90:K114)</f>
        <v>37</v>
      </c>
      <c r="L115" s="385">
        <f>L116-SUM(L90:L114)</f>
        <v>48</v>
      </c>
      <c r="M115" s="312">
        <f t="shared" ref="M115:M116" si="162">ROUND(((L115/K115-1)*100), 1)</f>
        <v>29.7</v>
      </c>
      <c r="N115" s="385">
        <f>N116-SUM(N90:N114)</f>
        <v>64</v>
      </c>
      <c r="O115" s="385">
        <f>O116-SUM(O90:O114)</f>
        <v>83</v>
      </c>
      <c r="P115" s="312">
        <f t="shared" ref="P115:P116" si="163">ROUND(((O115/N115-1)*100), 1)</f>
        <v>29.7</v>
      </c>
      <c r="Q115" s="321">
        <f>Q116-SUM(Q90:Q114)</f>
        <v>22</v>
      </c>
      <c r="R115" s="385">
        <f>R116-SUM(R90:R114)</f>
        <v>24</v>
      </c>
      <c r="S115" s="312">
        <f t="shared" ref="S115:S116" si="164">ROUND(((R115/Q115-1)*100), 1)</f>
        <v>9.1</v>
      </c>
      <c r="T115" s="385">
        <f>T116-SUM(T90:T114)</f>
        <v>86</v>
      </c>
      <c r="U115" s="385">
        <f>U116-SUM(U90:U114)</f>
        <v>107</v>
      </c>
      <c r="V115" s="312">
        <f t="shared" ref="V115:V116" si="165">ROUND(((U115/T115-1)*100), 1)</f>
        <v>24.4</v>
      </c>
      <c r="W115" s="321">
        <f>W116-SUM(W90:W114)</f>
        <v>30</v>
      </c>
      <c r="X115" s="385">
        <f>X116-SUM(X90:X114)</f>
        <v>214</v>
      </c>
      <c r="Y115" s="312">
        <f t="shared" ref="Y115:Y116" si="166">ROUND(((X115/W115-1)*100), 1)</f>
        <v>613.29999999999995</v>
      </c>
      <c r="Z115" s="627">
        <f>Z116-SUM(Z90:Z114)</f>
        <v>116</v>
      </c>
      <c r="AA115" s="627">
        <f>AA116-SUM(AA90:AA114)</f>
        <v>252</v>
      </c>
      <c r="AB115" s="312">
        <f t="shared" ref="AB115:AB116" si="167">ROUND(((AA115/Z115-1)*100), 1)</f>
        <v>117.2</v>
      </c>
      <c r="AC115" s="321">
        <f>AC116-SUM(AC90:AC114)</f>
        <v>41</v>
      </c>
      <c r="AD115" s="385">
        <f>AD116-SUM(AD90:AD114)</f>
        <v>31</v>
      </c>
      <c r="AE115" s="312">
        <f t="shared" ref="AE115:AE116" si="168">ROUND(((AD115/AC115-1)*100), 1)</f>
        <v>-24.4</v>
      </c>
      <c r="AF115" s="385">
        <f>AF116-SUM(AF90:AF114)</f>
        <v>157</v>
      </c>
      <c r="AG115" s="385">
        <f>AG116-SUM(AG90:AG114)</f>
        <v>283</v>
      </c>
      <c r="AH115" s="312">
        <f t="shared" ref="AH115:AH116" si="169">ROUND(((AG115/AF115-1)*100), 1)</f>
        <v>80.3</v>
      </c>
    </row>
    <row r="116" spans="1:34" s="167" customFormat="1">
      <c r="A116" s="31"/>
      <c r="B116" s="313" t="s">
        <v>101</v>
      </c>
      <c r="C116" s="356">
        <v>91334</v>
      </c>
      <c r="D116" s="356">
        <v>104324</v>
      </c>
      <c r="E116" s="355">
        <v>108278</v>
      </c>
      <c r="F116" s="421">
        <v>96401</v>
      </c>
      <c r="G116" s="356">
        <v>80684</v>
      </c>
      <c r="H116" s="375">
        <v>7276</v>
      </c>
      <c r="I116" s="628">
        <v>6710</v>
      </c>
      <c r="J116" s="314">
        <f t="shared" si="161"/>
        <v>-7.8</v>
      </c>
      <c r="K116" s="374">
        <f t="shared" ref="K116" si="170">N116-H116</f>
        <v>7904</v>
      </c>
      <c r="L116" s="375">
        <f t="shared" ref="L116" si="171">O116-I116</f>
        <v>7778</v>
      </c>
      <c r="M116" s="314">
        <f t="shared" si="162"/>
        <v>-1.6</v>
      </c>
      <c r="N116" s="375">
        <v>15180</v>
      </c>
      <c r="O116" s="375">
        <v>14488</v>
      </c>
      <c r="P116" s="314">
        <f t="shared" si="163"/>
        <v>-4.5999999999999996</v>
      </c>
      <c r="Q116" s="374">
        <f t="shared" ref="Q116" si="172">T116-N116</f>
        <v>8701</v>
      </c>
      <c r="R116" s="375">
        <f t="shared" ref="R116" si="173">U116-O116</f>
        <v>7064</v>
      </c>
      <c r="S116" s="314">
        <f t="shared" si="164"/>
        <v>-18.8</v>
      </c>
      <c r="T116" s="375">
        <v>23881</v>
      </c>
      <c r="U116" s="375">
        <v>21552</v>
      </c>
      <c r="V116" s="314">
        <f t="shared" si="165"/>
        <v>-9.8000000000000007</v>
      </c>
      <c r="W116" s="374">
        <f t="shared" ref="W116" si="174">Z116-T116</f>
        <v>4439</v>
      </c>
      <c r="X116" s="375">
        <f t="shared" ref="X116" si="175">AA116-U116</f>
        <v>7541</v>
      </c>
      <c r="Y116" s="314">
        <f t="shared" si="166"/>
        <v>69.900000000000006</v>
      </c>
      <c r="Z116" s="628">
        <v>28320</v>
      </c>
      <c r="AA116" s="628">
        <v>29093</v>
      </c>
      <c r="AB116" s="314">
        <f t="shared" si="167"/>
        <v>2.7</v>
      </c>
      <c r="AC116" s="374">
        <f t="shared" ref="AC116:AD116" si="176">AF116-Z116</f>
        <v>3818</v>
      </c>
      <c r="AD116" s="375">
        <f t="shared" si="176"/>
        <v>6903</v>
      </c>
      <c r="AE116" s="314">
        <f t="shared" si="168"/>
        <v>80.8</v>
      </c>
      <c r="AF116" s="375">
        <v>32138</v>
      </c>
      <c r="AG116" s="375">
        <v>35996</v>
      </c>
      <c r="AH116" s="314">
        <f t="shared" si="169"/>
        <v>12</v>
      </c>
    </row>
    <row r="117" spans="1:34" s="167" customFormat="1">
      <c r="A117" s="309"/>
      <c r="B117" s="29" t="s">
        <v>43</v>
      </c>
      <c r="C117" s="310">
        <v>1694</v>
      </c>
      <c r="D117" s="310">
        <v>2187</v>
      </c>
      <c r="E117" s="354">
        <v>3243</v>
      </c>
      <c r="F117" s="420">
        <v>3357</v>
      </c>
      <c r="G117" s="310">
        <v>3030</v>
      </c>
      <c r="H117" s="385">
        <v>321</v>
      </c>
      <c r="I117" s="627">
        <v>201</v>
      </c>
      <c r="J117" s="312">
        <f t="shared" ref="J117:J127" si="177">ROUND(((I117/H117-1)*100), 1)</f>
        <v>-37.4</v>
      </c>
      <c r="K117" s="321">
        <f t="shared" ref="K117:K130" si="178">N117-H117</f>
        <v>153</v>
      </c>
      <c r="L117" s="385">
        <f t="shared" ref="L117:L130" si="179">O117-I117</f>
        <v>215</v>
      </c>
      <c r="M117" s="312">
        <f>ROUND(((L117/K117-1)*100), 1)</f>
        <v>40.5</v>
      </c>
      <c r="N117" s="385">
        <v>474</v>
      </c>
      <c r="O117" s="385">
        <v>416</v>
      </c>
      <c r="P117" s="312">
        <f t="shared" ref="P117:P123" si="180">ROUND(((O117/N117-1)*100), 1)</f>
        <v>-12.2</v>
      </c>
      <c r="Q117" s="321">
        <f t="shared" ref="Q117:Q130" si="181">T117-N117</f>
        <v>397</v>
      </c>
      <c r="R117" s="385">
        <f t="shared" ref="R117:R130" si="182">U117-O117</f>
        <v>299</v>
      </c>
      <c r="S117" s="312">
        <f t="shared" ref="S117:S126" si="183">ROUND(((R117/Q117-1)*100), 1)</f>
        <v>-24.7</v>
      </c>
      <c r="T117" s="385">
        <v>871</v>
      </c>
      <c r="U117" s="385">
        <v>715</v>
      </c>
      <c r="V117" s="312">
        <f t="shared" ref="V117:V123" si="184">ROUND(((U117/T117-1)*100), 1)</f>
        <v>-17.899999999999999</v>
      </c>
      <c r="W117" s="321">
        <f t="shared" ref="W117:W130" si="185">Z117-T117</f>
        <v>288</v>
      </c>
      <c r="X117" s="385">
        <f t="shared" ref="X117:X130" si="186">AA117-U117</f>
        <v>250</v>
      </c>
      <c r="Y117" s="312">
        <f t="shared" ref="Y117:Y125" si="187">ROUND(((X117/W117-1)*100), 1)</f>
        <v>-13.2</v>
      </c>
      <c r="Z117" s="627">
        <v>1159</v>
      </c>
      <c r="AA117" s="627">
        <v>965</v>
      </c>
      <c r="AB117" s="312">
        <f t="shared" ref="AB117:AB127" si="188">ROUND(((AA117/Z117-1)*100), 1)</f>
        <v>-16.7</v>
      </c>
      <c r="AC117" s="321">
        <f t="shared" ref="AC117:AC130" si="189">AF117-Z117</f>
        <v>129</v>
      </c>
      <c r="AD117" s="385">
        <f t="shared" ref="AD117:AD130" si="190">AG117-AA117</f>
        <v>170</v>
      </c>
      <c r="AE117" s="312">
        <f t="shared" ref="AE117:AE123" si="191">ROUND(((AD117/AC117-1)*100), 1)</f>
        <v>31.8</v>
      </c>
      <c r="AF117" s="385">
        <v>1288</v>
      </c>
      <c r="AG117" s="385">
        <v>1135</v>
      </c>
      <c r="AH117" s="312">
        <f t="shared" ref="AH117:AH129" si="192">ROUND(((AG117/AF117-1)*100), 1)</f>
        <v>-11.9</v>
      </c>
    </row>
    <row r="118" spans="1:34" s="167" customFormat="1">
      <c r="A118" s="309" t="s">
        <v>126</v>
      </c>
      <c r="B118" s="29" t="s">
        <v>481</v>
      </c>
      <c r="C118" s="310">
        <v>843</v>
      </c>
      <c r="D118" s="310">
        <v>844</v>
      </c>
      <c r="E118" s="354">
        <v>909</v>
      </c>
      <c r="F118" s="420">
        <v>1022</v>
      </c>
      <c r="G118" s="310">
        <v>933</v>
      </c>
      <c r="H118" s="385">
        <v>97</v>
      </c>
      <c r="I118" s="627">
        <v>52</v>
      </c>
      <c r="J118" s="312">
        <f t="shared" si="177"/>
        <v>-46.4</v>
      </c>
      <c r="K118" s="321">
        <f t="shared" si="178"/>
        <v>58</v>
      </c>
      <c r="L118" s="385">
        <f t="shared" si="179"/>
        <v>2</v>
      </c>
      <c r="M118" s="312">
        <f>ROUND(((L118/K118-1)*100), 1)</f>
        <v>-96.6</v>
      </c>
      <c r="N118" s="385">
        <v>155</v>
      </c>
      <c r="O118" s="385">
        <v>54</v>
      </c>
      <c r="P118" s="312">
        <f t="shared" si="180"/>
        <v>-65.2</v>
      </c>
      <c r="Q118" s="321">
        <f t="shared" si="181"/>
        <v>131</v>
      </c>
      <c r="R118" s="385">
        <f t="shared" si="182"/>
        <v>169</v>
      </c>
      <c r="S118" s="312">
        <f t="shared" si="183"/>
        <v>29</v>
      </c>
      <c r="T118" s="385">
        <v>286</v>
      </c>
      <c r="U118" s="385">
        <v>223</v>
      </c>
      <c r="V118" s="312">
        <f t="shared" si="184"/>
        <v>-22</v>
      </c>
      <c r="W118" s="321">
        <f t="shared" si="185"/>
        <v>51</v>
      </c>
      <c r="X118" s="385">
        <f t="shared" si="186"/>
        <v>106</v>
      </c>
      <c r="Y118" s="312">
        <f t="shared" si="187"/>
        <v>107.8</v>
      </c>
      <c r="Z118" s="627">
        <v>337</v>
      </c>
      <c r="AA118" s="627">
        <v>329</v>
      </c>
      <c r="AB118" s="312">
        <f t="shared" si="188"/>
        <v>-2.4</v>
      </c>
      <c r="AC118" s="321">
        <f t="shared" si="189"/>
        <v>108</v>
      </c>
      <c r="AD118" s="385">
        <f t="shared" si="190"/>
        <v>60</v>
      </c>
      <c r="AE118" s="312">
        <f t="shared" si="191"/>
        <v>-44.4</v>
      </c>
      <c r="AF118" s="385">
        <v>445</v>
      </c>
      <c r="AG118" s="385">
        <v>389</v>
      </c>
      <c r="AH118" s="312">
        <f t="shared" si="192"/>
        <v>-12.6</v>
      </c>
    </row>
    <row r="119" spans="1:34" s="167" customFormat="1">
      <c r="A119" s="309"/>
      <c r="B119" s="29" t="s">
        <v>44</v>
      </c>
      <c r="C119" s="310">
        <v>137</v>
      </c>
      <c r="D119" s="310">
        <v>162</v>
      </c>
      <c r="E119" s="354">
        <v>148</v>
      </c>
      <c r="F119" s="420">
        <v>176</v>
      </c>
      <c r="G119" s="310">
        <v>671</v>
      </c>
      <c r="H119" s="385">
        <v>14</v>
      </c>
      <c r="I119" s="627">
        <v>112</v>
      </c>
      <c r="J119" s="312">
        <f t="shared" si="177"/>
        <v>700</v>
      </c>
      <c r="K119" s="321">
        <f t="shared" si="178"/>
        <v>39</v>
      </c>
      <c r="L119" s="385">
        <f t="shared" si="179"/>
        <v>137</v>
      </c>
      <c r="M119" s="572">
        <f t="shared" ref="M119:M123" si="193">ROUND(((L119/K119-1)*100), 1)</f>
        <v>251.3</v>
      </c>
      <c r="N119" s="385">
        <v>53</v>
      </c>
      <c r="O119" s="385">
        <v>249</v>
      </c>
      <c r="P119" s="312">
        <f t="shared" si="180"/>
        <v>369.8</v>
      </c>
      <c r="Q119" s="321">
        <f t="shared" si="181"/>
        <v>11</v>
      </c>
      <c r="R119" s="385">
        <f t="shared" si="182"/>
        <v>144</v>
      </c>
      <c r="S119" s="312">
        <f t="shared" si="183"/>
        <v>1209.0999999999999</v>
      </c>
      <c r="T119" s="385">
        <v>64</v>
      </c>
      <c r="U119" s="385">
        <v>393</v>
      </c>
      <c r="V119" s="312">
        <f t="shared" si="184"/>
        <v>514.1</v>
      </c>
      <c r="W119" s="321">
        <f t="shared" si="185"/>
        <v>48</v>
      </c>
      <c r="X119" s="385">
        <f t="shared" si="186"/>
        <v>143</v>
      </c>
      <c r="Y119" s="312">
        <f t="shared" si="187"/>
        <v>197.9</v>
      </c>
      <c r="Z119" s="627">
        <v>112</v>
      </c>
      <c r="AA119" s="627">
        <v>536</v>
      </c>
      <c r="AB119" s="312">
        <f t="shared" si="188"/>
        <v>378.6</v>
      </c>
      <c r="AC119" s="321">
        <f t="shared" si="189"/>
        <v>48</v>
      </c>
      <c r="AD119" s="385">
        <f t="shared" si="190"/>
        <v>169</v>
      </c>
      <c r="AE119" s="312">
        <f t="shared" si="191"/>
        <v>252.1</v>
      </c>
      <c r="AF119" s="385">
        <v>160</v>
      </c>
      <c r="AG119" s="385">
        <v>705</v>
      </c>
      <c r="AH119" s="312">
        <f t="shared" si="192"/>
        <v>340.6</v>
      </c>
    </row>
    <row r="120" spans="1:34" s="167" customFormat="1">
      <c r="A120" s="309"/>
      <c r="B120" s="29" t="s">
        <v>50</v>
      </c>
      <c r="C120" s="310">
        <v>200</v>
      </c>
      <c r="D120" s="310">
        <v>637</v>
      </c>
      <c r="E120" s="354">
        <v>459</v>
      </c>
      <c r="F120" s="420">
        <v>543</v>
      </c>
      <c r="G120" s="310">
        <v>519</v>
      </c>
      <c r="H120" s="385">
        <v>41</v>
      </c>
      <c r="I120" s="627">
        <v>46</v>
      </c>
      <c r="J120" s="312">
        <f t="shared" si="177"/>
        <v>12.2</v>
      </c>
      <c r="K120" s="321">
        <f t="shared" si="178"/>
        <v>54</v>
      </c>
      <c r="L120" s="385">
        <f t="shared" si="179"/>
        <v>43</v>
      </c>
      <c r="M120" s="572">
        <f t="shared" si="193"/>
        <v>-20.399999999999999</v>
      </c>
      <c r="N120" s="385">
        <v>95</v>
      </c>
      <c r="O120" s="385">
        <v>89</v>
      </c>
      <c r="P120" s="312">
        <f t="shared" si="180"/>
        <v>-6.3</v>
      </c>
      <c r="Q120" s="321">
        <f t="shared" si="181"/>
        <v>2</v>
      </c>
      <c r="R120" s="385">
        <f t="shared" si="182"/>
        <v>111</v>
      </c>
      <c r="S120" s="312">
        <f t="shared" si="183"/>
        <v>5450</v>
      </c>
      <c r="T120" s="385">
        <v>97</v>
      </c>
      <c r="U120" s="385">
        <v>200</v>
      </c>
      <c r="V120" s="312">
        <f t="shared" si="184"/>
        <v>106.2</v>
      </c>
      <c r="W120" s="321">
        <f t="shared" si="185"/>
        <v>47</v>
      </c>
      <c r="X120" s="385">
        <f t="shared" si="186"/>
        <v>67</v>
      </c>
      <c r="Y120" s="312">
        <f t="shared" si="187"/>
        <v>42.6</v>
      </c>
      <c r="Z120" s="627">
        <v>144</v>
      </c>
      <c r="AA120" s="627">
        <v>267</v>
      </c>
      <c r="AB120" s="312">
        <f t="shared" si="188"/>
        <v>85.4</v>
      </c>
      <c r="AC120" s="321">
        <f t="shared" si="189"/>
        <v>42</v>
      </c>
      <c r="AD120" s="385">
        <f t="shared" si="190"/>
        <v>64</v>
      </c>
      <c r="AE120" s="312">
        <f t="shared" si="191"/>
        <v>52.4</v>
      </c>
      <c r="AF120" s="385">
        <v>186</v>
      </c>
      <c r="AG120" s="385">
        <v>331</v>
      </c>
      <c r="AH120" s="312">
        <f t="shared" si="192"/>
        <v>78</v>
      </c>
    </row>
    <row r="121" spans="1:34" s="167" customFormat="1">
      <c r="A121" s="309"/>
      <c r="B121" s="29" t="s">
        <v>46</v>
      </c>
      <c r="C121" s="310">
        <v>612</v>
      </c>
      <c r="D121" s="310">
        <v>464</v>
      </c>
      <c r="E121" s="354">
        <v>413</v>
      </c>
      <c r="F121" s="420">
        <v>400</v>
      </c>
      <c r="G121" s="310">
        <v>408</v>
      </c>
      <c r="H121" s="385">
        <v>38</v>
      </c>
      <c r="I121" s="627">
        <v>39</v>
      </c>
      <c r="J121" s="572">
        <f t="shared" si="177"/>
        <v>2.6</v>
      </c>
      <c r="K121" s="321">
        <f t="shared" si="178"/>
        <v>20</v>
      </c>
      <c r="L121" s="385">
        <f t="shared" si="179"/>
        <v>1</v>
      </c>
      <c r="M121" s="572">
        <f t="shared" si="193"/>
        <v>-95</v>
      </c>
      <c r="N121" s="385">
        <v>58</v>
      </c>
      <c r="O121" s="385">
        <v>40</v>
      </c>
      <c r="P121" s="312">
        <f t="shared" si="180"/>
        <v>-31</v>
      </c>
      <c r="Q121" s="321">
        <f t="shared" si="181"/>
        <v>40</v>
      </c>
      <c r="R121" s="385">
        <f t="shared" si="182"/>
        <v>20</v>
      </c>
      <c r="S121" s="572">
        <f t="shared" si="183"/>
        <v>-50</v>
      </c>
      <c r="T121" s="385">
        <v>98</v>
      </c>
      <c r="U121" s="385">
        <v>60</v>
      </c>
      <c r="V121" s="312">
        <f t="shared" si="184"/>
        <v>-38.799999999999997</v>
      </c>
      <c r="W121" s="321">
        <f t="shared" si="185"/>
        <v>2</v>
      </c>
      <c r="X121" s="385">
        <f t="shared" si="186"/>
        <v>39</v>
      </c>
      <c r="Y121" s="312">
        <f t="shared" si="187"/>
        <v>1850</v>
      </c>
      <c r="Z121" s="627">
        <v>100</v>
      </c>
      <c r="AA121" s="627">
        <v>99</v>
      </c>
      <c r="AB121" s="312">
        <f t="shared" si="188"/>
        <v>-1</v>
      </c>
      <c r="AC121" s="321">
        <f t="shared" si="189"/>
        <v>38</v>
      </c>
      <c r="AD121" s="385">
        <f t="shared" si="190"/>
        <v>32</v>
      </c>
      <c r="AE121" s="312">
        <f t="shared" si="191"/>
        <v>-15.8</v>
      </c>
      <c r="AF121" s="385">
        <v>138</v>
      </c>
      <c r="AG121" s="385">
        <v>131</v>
      </c>
      <c r="AH121" s="312">
        <f t="shared" si="192"/>
        <v>-5.0999999999999996</v>
      </c>
    </row>
    <row r="122" spans="1:34" s="167" customFormat="1">
      <c r="A122" s="309"/>
      <c r="B122" s="29" t="s">
        <v>47</v>
      </c>
      <c r="C122" s="310">
        <v>210</v>
      </c>
      <c r="D122" s="310">
        <v>226</v>
      </c>
      <c r="E122" s="354">
        <v>207</v>
      </c>
      <c r="F122" s="420">
        <v>163</v>
      </c>
      <c r="G122" s="310">
        <v>116</v>
      </c>
      <c r="H122" s="385">
        <v>8</v>
      </c>
      <c r="I122" s="627">
        <v>7</v>
      </c>
      <c r="J122" s="572">
        <f t="shared" si="177"/>
        <v>-12.5</v>
      </c>
      <c r="K122" s="321">
        <f t="shared" si="178"/>
        <v>11</v>
      </c>
      <c r="L122" s="385">
        <f t="shared" si="179"/>
        <v>14</v>
      </c>
      <c r="M122" s="572">
        <f t="shared" si="193"/>
        <v>27.3</v>
      </c>
      <c r="N122" s="385">
        <v>19</v>
      </c>
      <c r="O122" s="385">
        <v>21</v>
      </c>
      <c r="P122" s="312">
        <f t="shared" si="180"/>
        <v>10.5</v>
      </c>
      <c r="Q122" s="321">
        <f t="shared" si="181"/>
        <v>19</v>
      </c>
      <c r="R122" s="385">
        <f t="shared" si="182"/>
        <v>8</v>
      </c>
      <c r="S122" s="572">
        <f t="shared" si="183"/>
        <v>-57.9</v>
      </c>
      <c r="T122" s="385">
        <v>38</v>
      </c>
      <c r="U122" s="385">
        <v>29</v>
      </c>
      <c r="V122" s="312">
        <f t="shared" si="184"/>
        <v>-23.7</v>
      </c>
      <c r="W122" s="321">
        <f t="shared" si="185"/>
        <v>2</v>
      </c>
      <c r="X122" s="385">
        <f t="shared" si="186"/>
        <v>8</v>
      </c>
      <c r="Y122" s="312">
        <f t="shared" si="187"/>
        <v>300</v>
      </c>
      <c r="Z122" s="627">
        <v>40</v>
      </c>
      <c r="AA122" s="627">
        <v>37</v>
      </c>
      <c r="AB122" s="312">
        <f t="shared" si="188"/>
        <v>-7.5</v>
      </c>
      <c r="AC122" s="321">
        <f t="shared" si="189"/>
        <v>14</v>
      </c>
      <c r="AD122" s="385">
        <f t="shared" si="190"/>
        <v>3</v>
      </c>
      <c r="AE122" s="312">
        <f t="shared" si="191"/>
        <v>-78.599999999999994</v>
      </c>
      <c r="AF122" s="385">
        <v>54</v>
      </c>
      <c r="AG122" s="385">
        <v>40</v>
      </c>
      <c r="AH122" s="312">
        <f t="shared" si="192"/>
        <v>-25.9</v>
      </c>
    </row>
    <row r="123" spans="1:34" s="167" customFormat="1">
      <c r="A123" s="309"/>
      <c r="B123" s="29" t="s">
        <v>45</v>
      </c>
      <c r="C123" s="310">
        <v>26</v>
      </c>
      <c r="D123" s="310">
        <v>49</v>
      </c>
      <c r="E123" s="354">
        <v>52</v>
      </c>
      <c r="F123" s="420">
        <v>72</v>
      </c>
      <c r="G123" s="310">
        <v>113</v>
      </c>
      <c r="H123" s="385">
        <v>19</v>
      </c>
      <c r="I123" s="627">
        <v>3</v>
      </c>
      <c r="J123" s="572">
        <f t="shared" si="177"/>
        <v>-84.2</v>
      </c>
      <c r="K123" s="321">
        <f t="shared" si="178"/>
        <v>20</v>
      </c>
      <c r="L123" s="385">
        <f t="shared" si="179"/>
        <v>7</v>
      </c>
      <c r="M123" s="572">
        <f t="shared" si="193"/>
        <v>-65</v>
      </c>
      <c r="N123" s="385">
        <v>39</v>
      </c>
      <c r="O123" s="385">
        <v>10</v>
      </c>
      <c r="P123" s="235">
        <f t="shared" si="180"/>
        <v>-74.400000000000006</v>
      </c>
      <c r="Q123" s="321">
        <f t="shared" si="181"/>
        <v>23</v>
      </c>
      <c r="R123" s="385">
        <f t="shared" si="182"/>
        <v>1</v>
      </c>
      <c r="S123" s="572">
        <f t="shared" si="183"/>
        <v>-95.7</v>
      </c>
      <c r="T123" s="385">
        <v>62</v>
      </c>
      <c r="U123" s="385">
        <v>11</v>
      </c>
      <c r="V123" s="235">
        <f t="shared" si="184"/>
        <v>-82.3</v>
      </c>
      <c r="W123" s="321">
        <f t="shared" si="185"/>
        <v>18</v>
      </c>
      <c r="X123" s="385">
        <f t="shared" si="186"/>
        <v>3</v>
      </c>
      <c r="Y123" s="572">
        <f t="shared" si="187"/>
        <v>-83.3</v>
      </c>
      <c r="Z123" s="627">
        <v>80</v>
      </c>
      <c r="AA123" s="627">
        <v>14</v>
      </c>
      <c r="AB123" s="235">
        <f t="shared" si="188"/>
        <v>-82.5</v>
      </c>
      <c r="AC123" s="321">
        <f t="shared" si="189"/>
        <v>1</v>
      </c>
      <c r="AD123" s="385">
        <f t="shared" si="190"/>
        <v>2</v>
      </c>
      <c r="AE123" s="235">
        <f t="shared" si="191"/>
        <v>100</v>
      </c>
      <c r="AF123" s="385">
        <v>81</v>
      </c>
      <c r="AG123" s="385">
        <v>16</v>
      </c>
      <c r="AH123" s="235">
        <f t="shared" si="192"/>
        <v>-80.2</v>
      </c>
    </row>
    <row r="124" spans="1:34" s="167" customFormat="1">
      <c r="A124" s="309"/>
      <c r="B124" s="611" t="s">
        <v>385</v>
      </c>
      <c r="C124" s="613">
        <v>440</v>
      </c>
      <c r="D124" s="613">
        <v>320</v>
      </c>
      <c r="E124" s="583">
        <v>0</v>
      </c>
      <c r="F124" s="420">
        <v>0</v>
      </c>
      <c r="G124" s="310">
        <v>105</v>
      </c>
      <c r="H124" s="385">
        <v>0</v>
      </c>
      <c r="I124" s="627">
        <v>0</v>
      </c>
      <c r="J124" s="579">
        <v>0</v>
      </c>
      <c r="K124" s="321">
        <f t="shared" si="178"/>
        <v>0</v>
      </c>
      <c r="L124" s="385">
        <f t="shared" si="179"/>
        <v>0</v>
      </c>
      <c r="M124" s="583">
        <v>0</v>
      </c>
      <c r="N124" s="385">
        <v>0</v>
      </c>
      <c r="O124" s="385">
        <v>0</v>
      </c>
      <c r="P124" s="171">
        <v>0</v>
      </c>
      <c r="Q124" s="321">
        <f t="shared" si="181"/>
        <v>0</v>
      </c>
      <c r="R124" s="385">
        <f t="shared" si="182"/>
        <v>0</v>
      </c>
      <c r="S124" s="579">
        <v>0</v>
      </c>
      <c r="T124" s="385">
        <v>0</v>
      </c>
      <c r="U124" s="385">
        <v>0</v>
      </c>
      <c r="V124" s="171">
        <v>0</v>
      </c>
      <c r="W124" s="321">
        <f t="shared" si="185"/>
        <v>105</v>
      </c>
      <c r="X124" s="385">
        <f t="shared" si="186"/>
        <v>0</v>
      </c>
      <c r="Y124" s="572">
        <f t="shared" si="187"/>
        <v>-100</v>
      </c>
      <c r="Z124" s="627">
        <v>105</v>
      </c>
      <c r="AA124" s="627">
        <v>0</v>
      </c>
      <c r="AB124" s="571">
        <f t="shared" si="188"/>
        <v>-100</v>
      </c>
      <c r="AC124" s="321">
        <f t="shared" si="189"/>
        <v>0</v>
      </c>
      <c r="AD124" s="385">
        <f t="shared" si="190"/>
        <v>0</v>
      </c>
      <c r="AE124" s="462">
        <v>0</v>
      </c>
      <c r="AF124" s="385">
        <v>105</v>
      </c>
      <c r="AG124" s="385">
        <v>0</v>
      </c>
      <c r="AH124" s="572">
        <f t="shared" si="192"/>
        <v>-100</v>
      </c>
    </row>
    <row r="125" spans="1:34" s="167" customFormat="1">
      <c r="A125" s="309"/>
      <c r="B125" s="610" t="s">
        <v>382</v>
      </c>
      <c r="C125" s="310">
        <v>99</v>
      </c>
      <c r="D125" s="310">
        <v>113</v>
      </c>
      <c r="E125" s="354">
        <v>111</v>
      </c>
      <c r="F125" s="420">
        <v>64</v>
      </c>
      <c r="G125" s="310">
        <v>100</v>
      </c>
      <c r="H125" s="385">
        <v>0</v>
      </c>
      <c r="I125" s="627">
        <v>0</v>
      </c>
      <c r="J125" s="579">
        <v>0</v>
      </c>
      <c r="K125" s="321">
        <f t="shared" si="178"/>
        <v>0</v>
      </c>
      <c r="L125" s="385">
        <f t="shared" si="179"/>
        <v>0</v>
      </c>
      <c r="M125" s="171">
        <v>0</v>
      </c>
      <c r="N125" s="385">
        <v>0</v>
      </c>
      <c r="O125" s="385">
        <v>0</v>
      </c>
      <c r="P125" s="171">
        <v>0</v>
      </c>
      <c r="Q125" s="321">
        <f t="shared" si="181"/>
        <v>0</v>
      </c>
      <c r="R125" s="385">
        <f t="shared" si="182"/>
        <v>0</v>
      </c>
      <c r="S125" s="579">
        <v>0</v>
      </c>
      <c r="T125" s="385">
        <v>0</v>
      </c>
      <c r="U125" s="385">
        <v>0</v>
      </c>
      <c r="V125" s="171">
        <v>0</v>
      </c>
      <c r="W125" s="321">
        <f t="shared" si="185"/>
        <v>1</v>
      </c>
      <c r="X125" s="385">
        <f t="shared" si="186"/>
        <v>0</v>
      </c>
      <c r="Y125" s="572">
        <f t="shared" si="187"/>
        <v>-100</v>
      </c>
      <c r="Z125" s="627">
        <v>1</v>
      </c>
      <c r="AA125" s="627">
        <v>0</v>
      </c>
      <c r="AB125" s="571">
        <f t="shared" si="188"/>
        <v>-100</v>
      </c>
      <c r="AC125" s="321">
        <f t="shared" si="189"/>
        <v>0</v>
      </c>
      <c r="AD125" s="385">
        <f t="shared" si="190"/>
        <v>0</v>
      </c>
      <c r="AE125" s="462">
        <v>0</v>
      </c>
      <c r="AF125" s="385">
        <v>1</v>
      </c>
      <c r="AG125" s="385">
        <v>0</v>
      </c>
      <c r="AH125" s="572">
        <f t="shared" si="192"/>
        <v>-100</v>
      </c>
    </row>
    <row r="126" spans="1:34">
      <c r="A126" s="3"/>
      <c r="B126" s="39" t="s">
        <v>49</v>
      </c>
      <c r="C126" s="182">
        <v>97</v>
      </c>
      <c r="D126" s="182">
        <v>41</v>
      </c>
      <c r="E126" s="344">
        <v>11</v>
      </c>
      <c r="F126" s="420">
        <v>16</v>
      </c>
      <c r="G126" s="310">
        <v>55</v>
      </c>
      <c r="H126" s="385">
        <v>5</v>
      </c>
      <c r="I126" s="627">
        <v>163</v>
      </c>
      <c r="J126" s="572">
        <f t="shared" si="177"/>
        <v>3160</v>
      </c>
      <c r="K126" s="321">
        <f t="shared" si="178"/>
        <v>0</v>
      </c>
      <c r="L126" s="385">
        <f t="shared" si="179"/>
        <v>270</v>
      </c>
      <c r="M126" s="570">
        <v>0</v>
      </c>
      <c r="N126" s="385">
        <v>5</v>
      </c>
      <c r="O126" s="385">
        <v>433</v>
      </c>
      <c r="P126" s="571">
        <f>ROUND(((O126/N126-1)*100), 1)</f>
        <v>8560</v>
      </c>
      <c r="Q126" s="321">
        <f t="shared" si="181"/>
        <v>6</v>
      </c>
      <c r="R126" s="385">
        <f t="shared" si="182"/>
        <v>367</v>
      </c>
      <c r="S126" s="572">
        <f t="shared" si="183"/>
        <v>6016.7</v>
      </c>
      <c r="T126" s="385">
        <v>11</v>
      </c>
      <c r="U126" s="385">
        <v>800</v>
      </c>
      <c r="V126" s="235">
        <f>ROUND(((U126/T126-1)*100), 1)</f>
        <v>7172.7</v>
      </c>
      <c r="W126" s="321">
        <f t="shared" si="185"/>
        <v>0</v>
      </c>
      <c r="X126" s="385">
        <f t="shared" si="186"/>
        <v>264</v>
      </c>
      <c r="Y126" s="579">
        <v>0</v>
      </c>
      <c r="Z126" s="627">
        <v>11</v>
      </c>
      <c r="AA126" s="627">
        <v>1064</v>
      </c>
      <c r="AB126" s="571">
        <f t="shared" si="188"/>
        <v>9572.7000000000007</v>
      </c>
      <c r="AC126" s="321">
        <f t="shared" si="189"/>
        <v>0</v>
      </c>
      <c r="AD126" s="385">
        <f t="shared" si="190"/>
        <v>284</v>
      </c>
      <c r="AE126" s="579">
        <v>0</v>
      </c>
      <c r="AF126" s="385">
        <v>11</v>
      </c>
      <c r="AG126" s="385">
        <v>1348</v>
      </c>
      <c r="AH126" s="572">
        <f t="shared" si="192"/>
        <v>12154.5</v>
      </c>
    </row>
    <row r="127" spans="1:34">
      <c r="A127" s="3"/>
      <c r="B127" s="39" t="s">
        <v>384</v>
      </c>
      <c r="C127" s="182">
        <v>39</v>
      </c>
      <c r="D127" s="182">
        <v>34</v>
      </c>
      <c r="E127" s="344">
        <v>18</v>
      </c>
      <c r="F127" s="420">
        <v>19</v>
      </c>
      <c r="G127" s="310">
        <v>21</v>
      </c>
      <c r="H127" s="385">
        <v>1</v>
      </c>
      <c r="I127" s="627">
        <v>1</v>
      </c>
      <c r="J127" s="572">
        <f t="shared" si="177"/>
        <v>0</v>
      </c>
      <c r="K127" s="321">
        <f t="shared" si="178"/>
        <v>0</v>
      </c>
      <c r="L127" s="385">
        <f t="shared" si="179"/>
        <v>0</v>
      </c>
      <c r="M127" s="583">
        <v>0</v>
      </c>
      <c r="N127" s="385">
        <v>1</v>
      </c>
      <c r="O127" s="385">
        <v>1</v>
      </c>
      <c r="P127" s="571">
        <f>ROUND(((O127/N127-1)*100), 1)</f>
        <v>0</v>
      </c>
      <c r="Q127" s="321">
        <f t="shared" si="181"/>
        <v>0</v>
      </c>
      <c r="R127" s="385">
        <f t="shared" si="182"/>
        <v>1</v>
      </c>
      <c r="S127" s="579">
        <v>0</v>
      </c>
      <c r="T127" s="385">
        <v>1</v>
      </c>
      <c r="U127" s="385">
        <v>2</v>
      </c>
      <c r="V127" s="235">
        <f>ROUND(((U127/T127-1)*100), 1)</f>
        <v>100</v>
      </c>
      <c r="W127" s="321">
        <f t="shared" si="185"/>
        <v>0</v>
      </c>
      <c r="X127" s="385">
        <f t="shared" si="186"/>
        <v>0</v>
      </c>
      <c r="Y127" s="579">
        <v>0</v>
      </c>
      <c r="Z127" s="627">
        <v>1</v>
      </c>
      <c r="AA127" s="627">
        <v>2</v>
      </c>
      <c r="AB127" s="571">
        <f t="shared" si="188"/>
        <v>100</v>
      </c>
      <c r="AC127" s="321">
        <f t="shared" si="189"/>
        <v>2</v>
      </c>
      <c r="AD127" s="385">
        <f t="shared" si="190"/>
        <v>0</v>
      </c>
      <c r="AE127" s="235">
        <f>ROUND(((AD127/AC127-1)*100), 1)</f>
        <v>-100</v>
      </c>
      <c r="AF127" s="385">
        <v>3</v>
      </c>
      <c r="AG127" s="385">
        <v>2</v>
      </c>
      <c r="AH127" s="572">
        <f t="shared" si="192"/>
        <v>-33.299999999999997</v>
      </c>
    </row>
    <row r="128" spans="1:34">
      <c r="A128" s="3"/>
      <c r="B128" s="39" t="s">
        <v>53</v>
      </c>
      <c r="C128" s="182">
        <v>10</v>
      </c>
      <c r="D128" s="182">
        <v>1</v>
      </c>
      <c r="E128" s="344">
        <v>4</v>
      </c>
      <c r="F128" s="420">
        <v>1</v>
      </c>
      <c r="G128" s="310">
        <v>5</v>
      </c>
      <c r="H128" s="385">
        <v>0</v>
      </c>
      <c r="I128" s="627">
        <v>1</v>
      </c>
      <c r="J128" s="579">
        <v>0</v>
      </c>
      <c r="K128" s="321">
        <f t="shared" si="178"/>
        <v>0</v>
      </c>
      <c r="L128" s="385">
        <f t="shared" si="179"/>
        <v>0</v>
      </c>
      <c r="M128" s="171">
        <v>0</v>
      </c>
      <c r="N128" s="385">
        <v>0</v>
      </c>
      <c r="O128" s="385">
        <v>1</v>
      </c>
      <c r="P128" s="171">
        <v>0</v>
      </c>
      <c r="Q128" s="321">
        <f t="shared" si="181"/>
        <v>0</v>
      </c>
      <c r="R128" s="385">
        <f t="shared" si="182"/>
        <v>0</v>
      </c>
      <c r="S128" s="171">
        <v>0</v>
      </c>
      <c r="T128" s="385">
        <v>0</v>
      </c>
      <c r="U128" s="385">
        <v>1</v>
      </c>
      <c r="V128" s="171">
        <v>0</v>
      </c>
      <c r="W128" s="321">
        <f t="shared" si="185"/>
        <v>0</v>
      </c>
      <c r="X128" s="385">
        <f t="shared" si="186"/>
        <v>0</v>
      </c>
      <c r="Y128" s="462">
        <v>0</v>
      </c>
      <c r="Z128" s="627">
        <v>0</v>
      </c>
      <c r="AA128" s="627">
        <v>1</v>
      </c>
      <c r="AB128" s="462">
        <v>0</v>
      </c>
      <c r="AC128" s="321">
        <f t="shared" si="189"/>
        <v>1</v>
      </c>
      <c r="AD128" s="385">
        <f t="shared" si="190"/>
        <v>0</v>
      </c>
      <c r="AE128" s="571">
        <f>ROUND(((AD128/AC128-1)*100), 1)</f>
        <v>-100</v>
      </c>
      <c r="AF128" s="385">
        <v>1</v>
      </c>
      <c r="AG128" s="385">
        <v>1</v>
      </c>
      <c r="AH128" s="572">
        <f t="shared" si="192"/>
        <v>0</v>
      </c>
    </row>
    <row r="129" spans="1:34">
      <c r="A129" s="3"/>
      <c r="B129" s="611" t="s">
        <v>383</v>
      </c>
      <c r="C129" s="613">
        <v>10</v>
      </c>
      <c r="D129" s="613">
        <v>2</v>
      </c>
      <c r="E129" s="583">
        <v>25</v>
      </c>
      <c r="F129" s="420">
        <v>33</v>
      </c>
      <c r="G129" s="310">
        <v>2</v>
      </c>
      <c r="H129" s="385">
        <v>0</v>
      </c>
      <c r="I129" s="627">
        <v>0</v>
      </c>
      <c r="J129" s="171">
        <v>0</v>
      </c>
      <c r="K129" s="321">
        <f t="shared" si="178"/>
        <v>0</v>
      </c>
      <c r="L129" s="385">
        <f t="shared" si="179"/>
        <v>0</v>
      </c>
      <c r="M129" s="171">
        <v>0</v>
      </c>
      <c r="N129" s="385">
        <v>0</v>
      </c>
      <c r="O129" s="385">
        <v>0</v>
      </c>
      <c r="P129" s="171">
        <v>0</v>
      </c>
      <c r="Q129" s="321">
        <f t="shared" si="181"/>
        <v>0</v>
      </c>
      <c r="R129" s="385">
        <f t="shared" si="182"/>
        <v>0</v>
      </c>
      <c r="S129" s="171">
        <v>0</v>
      </c>
      <c r="T129" s="385">
        <v>0</v>
      </c>
      <c r="U129" s="385">
        <v>0</v>
      </c>
      <c r="V129" s="171">
        <v>0</v>
      </c>
      <c r="W129" s="321">
        <f t="shared" si="185"/>
        <v>2</v>
      </c>
      <c r="X129" s="385">
        <f t="shared" si="186"/>
        <v>0</v>
      </c>
      <c r="Y129" s="571">
        <f>ROUND(((X129/W129-1)*100), 1)</f>
        <v>-100</v>
      </c>
      <c r="Z129" s="627">
        <v>2</v>
      </c>
      <c r="AA129" s="627">
        <v>0</v>
      </c>
      <c r="AB129" s="571">
        <f>ROUND(((AA129/Z129-1)*100), 1)</f>
        <v>-100</v>
      </c>
      <c r="AC129" s="321">
        <f t="shared" si="189"/>
        <v>0</v>
      </c>
      <c r="AD129" s="385">
        <f t="shared" si="190"/>
        <v>0</v>
      </c>
      <c r="AE129" s="462">
        <v>0</v>
      </c>
      <c r="AF129" s="385">
        <v>2</v>
      </c>
      <c r="AG129" s="385">
        <v>0</v>
      </c>
      <c r="AH129" s="572">
        <f t="shared" si="192"/>
        <v>-100</v>
      </c>
    </row>
    <row r="130" spans="1:34">
      <c r="A130" s="3"/>
      <c r="B130" s="610" t="s">
        <v>381</v>
      </c>
      <c r="C130" s="310">
        <v>0</v>
      </c>
      <c r="D130" s="310">
        <v>0</v>
      </c>
      <c r="E130" s="354">
        <v>574</v>
      </c>
      <c r="F130" s="420">
        <v>0</v>
      </c>
      <c r="G130" s="310">
        <v>0</v>
      </c>
      <c r="H130" s="385">
        <v>0</v>
      </c>
      <c r="I130" s="627">
        <v>0</v>
      </c>
      <c r="J130" s="171">
        <v>0</v>
      </c>
      <c r="K130" s="321">
        <f t="shared" si="178"/>
        <v>0</v>
      </c>
      <c r="L130" s="385">
        <f t="shared" si="179"/>
        <v>0</v>
      </c>
      <c r="M130" s="171">
        <v>0</v>
      </c>
      <c r="N130" s="385">
        <v>0</v>
      </c>
      <c r="O130" s="385">
        <v>0</v>
      </c>
      <c r="P130" s="171">
        <v>0</v>
      </c>
      <c r="Q130" s="321">
        <f t="shared" si="181"/>
        <v>0</v>
      </c>
      <c r="R130" s="385">
        <f t="shared" si="182"/>
        <v>0</v>
      </c>
      <c r="S130" s="171">
        <v>0</v>
      </c>
      <c r="T130" s="385">
        <v>0</v>
      </c>
      <c r="U130" s="385">
        <v>0</v>
      </c>
      <c r="V130" s="171">
        <v>0</v>
      </c>
      <c r="W130" s="321">
        <f t="shared" si="185"/>
        <v>0</v>
      </c>
      <c r="X130" s="385">
        <f t="shared" si="186"/>
        <v>0</v>
      </c>
      <c r="Y130" s="462">
        <v>0</v>
      </c>
      <c r="Z130" s="627">
        <v>0</v>
      </c>
      <c r="AA130" s="627">
        <v>0</v>
      </c>
      <c r="AB130" s="462">
        <v>0</v>
      </c>
      <c r="AC130" s="321">
        <f t="shared" si="189"/>
        <v>0</v>
      </c>
      <c r="AD130" s="385">
        <f t="shared" si="190"/>
        <v>0</v>
      </c>
      <c r="AE130" s="462">
        <v>0</v>
      </c>
      <c r="AF130" s="385">
        <v>0</v>
      </c>
      <c r="AG130" s="385">
        <v>0</v>
      </c>
      <c r="AH130" s="462">
        <v>0</v>
      </c>
    </row>
    <row r="131" spans="1:34">
      <c r="A131" s="3"/>
      <c r="B131" s="39" t="s">
        <v>18</v>
      </c>
      <c r="C131" s="182">
        <f t="shared" ref="C131:F131" si="194">C132-SUM(C117:C130)</f>
        <v>38</v>
      </c>
      <c r="D131" s="182">
        <f t="shared" si="194"/>
        <v>180</v>
      </c>
      <c r="E131" s="344">
        <f t="shared" si="194"/>
        <v>28</v>
      </c>
      <c r="F131" s="419">
        <f t="shared" si="194"/>
        <v>26</v>
      </c>
      <c r="G131" s="613">
        <f>G132-SUM(G117:G130)</f>
        <v>31</v>
      </c>
      <c r="H131" s="383">
        <f t="shared" ref="H131" si="195">H132-SUM(H117:H130)</f>
        <v>1</v>
      </c>
      <c r="I131" s="620">
        <f t="shared" ref="I131" si="196">I132-SUM(I117:I130)</f>
        <v>2</v>
      </c>
      <c r="J131" s="226">
        <f>ROUND(((I131/H131-1)*100), 1)</f>
        <v>100</v>
      </c>
      <c r="K131" s="307">
        <f>K132-SUM(K117:K130)</f>
        <v>6</v>
      </c>
      <c r="L131" s="383">
        <f>L132-SUM(L117:L130)</f>
        <v>0</v>
      </c>
      <c r="M131" s="235">
        <f>ROUND(((L131/K131-1)*100), 1)</f>
        <v>-100</v>
      </c>
      <c r="N131" s="383">
        <f>N132-SUM(N117:N130)</f>
        <v>7</v>
      </c>
      <c r="O131" s="383">
        <f t="shared" ref="O131" si="197">O132-SUM(O117:O130)</f>
        <v>2</v>
      </c>
      <c r="P131" s="235">
        <f>ROUND(((O131/N131-1)*100), 1)</f>
        <v>-71.400000000000006</v>
      </c>
      <c r="Q131" s="307">
        <f>Q132-SUM(Q117:Q130)</f>
        <v>0</v>
      </c>
      <c r="R131" s="383">
        <f>R132-SUM(R117:R130)</f>
        <v>6</v>
      </c>
      <c r="S131" s="172">
        <v>0</v>
      </c>
      <c r="T131" s="383">
        <f>T132-SUM(T117:T130)</f>
        <v>7</v>
      </c>
      <c r="U131" s="383">
        <f t="shared" ref="U131" si="198">U132-SUM(U117:U130)</f>
        <v>8</v>
      </c>
      <c r="V131" s="235">
        <f>ROUND(((U131/T131-1)*100), 1)</f>
        <v>14.3</v>
      </c>
      <c r="W131" s="307">
        <f>W132-SUM(W117:W130)</f>
        <v>1</v>
      </c>
      <c r="X131" s="383">
        <f>X132-SUM(X117:X130)</f>
        <v>1</v>
      </c>
      <c r="Y131" s="235">
        <f>ROUND(((X131/W131-1)*100), 1)</f>
        <v>0</v>
      </c>
      <c r="Z131" s="620">
        <f>Z132-SUM(Z117:Z130)</f>
        <v>8</v>
      </c>
      <c r="AA131" s="620">
        <f t="shared" ref="AA131" si="199">AA132-SUM(AA117:AA130)</f>
        <v>9</v>
      </c>
      <c r="AB131" s="235">
        <f>ROUND(((AA131/Z131-1)*100), 1)</f>
        <v>12.5</v>
      </c>
      <c r="AC131" s="307">
        <f>AC132-SUM(AC117:AC130)</f>
        <v>1</v>
      </c>
      <c r="AD131" s="383">
        <f>AD132-SUM(AD117:AD130)</f>
        <v>5</v>
      </c>
      <c r="AE131" s="235">
        <f>ROUND(((AD131/AC131-1)*100), 1)</f>
        <v>400</v>
      </c>
      <c r="AF131" s="383">
        <f>AF132-SUM(AF117:AF130)</f>
        <v>9</v>
      </c>
      <c r="AG131" s="383">
        <f t="shared" ref="AG131" si="200">AG132-SUM(AG117:AG130)</f>
        <v>14</v>
      </c>
      <c r="AH131" s="235">
        <f>ROUND(((AG131/AF131-1)*100), 1)</f>
        <v>55.6</v>
      </c>
    </row>
    <row r="132" spans="1:34">
      <c r="A132" s="8"/>
      <c r="B132" s="63" t="s">
        <v>101</v>
      </c>
      <c r="C132" s="308">
        <v>4455</v>
      </c>
      <c r="D132" s="308">
        <v>5260</v>
      </c>
      <c r="E132" s="352">
        <v>6202</v>
      </c>
      <c r="F132" s="422">
        <v>5892</v>
      </c>
      <c r="G132" s="614">
        <v>6109</v>
      </c>
      <c r="H132" s="373">
        <v>545</v>
      </c>
      <c r="I132" s="621">
        <v>627</v>
      </c>
      <c r="J132" s="227">
        <f>ROUND(((I132/H132-1)*100), 1)</f>
        <v>15</v>
      </c>
      <c r="K132" s="372">
        <f>N132-H132</f>
        <v>361</v>
      </c>
      <c r="L132" s="373">
        <f>O132-I132</f>
        <v>689</v>
      </c>
      <c r="M132" s="236">
        <f>ROUND(((L132/K132-1)*100), 1)</f>
        <v>90.9</v>
      </c>
      <c r="N132" s="373">
        <v>906</v>
      </c>
      <c r="O132" s="373">
        <v>1316</v>
      </c>
      <c r="P132" s="236">
        <f>ROUND(((O132/N132-1)*100), 1)</f>
        <v>45.3</v>
      </c>
      <c r="Q132" s="372">
        <f>T132-N132</f>
        <v>629</v>
      </c>
      <c r="R132" s="373">
        <f>U132-O132</f>
        <v>1126</v>
      </c>
      <c r="S132" s="236">
        <f>ROUND(((R132/Q132-1)*100), 1)</f>
        <v>79</v>
      </c>
      <c r="T132" s="373">
        <v>1535</v>
      </c>
      <c r="U132" s="373">
        <v>2442</v>
      </c>
      <c r="V132" s="236">
        <f>ROUND(((U132/T132-1)*100), 1)</f>
        <v>59.1</v>
      </c>
      <c r="W132" s="372">
        <f>Z132-T132</f>
        <v>565</v>
      </c>
      <c r="X132" s="373">
        <f>AA132-U132</f>
        <v>881</v>
      </c>
      <c r="Y132" s="236">
        <f>ROUND(((X132/W132-1)*100), 1)</f>
        <v>55.9</v>
      </c>
      <c r="Z132" s="621">
        <v>2100</v>
      </c>
      <c r="AA132" s="621">
        <v>3323</v>
      </c>
      <c r="AB132" s="236">
        <f>ROUND(((AA132/Z132-1)*100), 1)</f>
        <v>58.2</v>
      </c>
      <c r="AC132" s="372">
        <f>AF132-Z132</f>
        <v>384</v>
      </c>
      <c r="AD132" s="373">
        <f>AG132-AA132</f>
        <v>789</v>
      </c>
      <c r="AE132" s="236">
        <f>ROUND(((AD132/AC132-1)*100), 1)</f>
        <v>105.5</v>
      </c>
      <c r="AF132" s="373">
        <v>2484</v>
      </c>
      <c r="AG132" s="373">
        <v>4112</v>
      </c>
      <c r="AH132" s="236">
        <f>ROUND(((AG132/AF132-1)*100), 1)</f>
        <v>65.5</v>
      </c>
    </row>
    <row r="133" spans="1:34">
      <c r="A133" s="64" t="s">
        <v>111</v>
      </c>
      <c r="B133" s="278"/>
      <c r="J133" s="221"/>
    </row>
    <row r="134" spans="1:34">
      <c r="A134" s="51"/>
      <c r="B134" s="278"/>
      <c r="J134" s="221"/>
    </row>
    <row r="135" spans="1:34">
      <c r="A135" s="77" t="s">
        <v>127</v>
      </c>
      <c r="B135" s="241"/>
      <c r="C135" s="58"/>
      <c r="G135" s="58" t="s">
        <v>128</v>
      </c>
      <c r="H135" s="568"/>
      <c r="I135" s="625"/>
      <c r="J135" s="232"/>
      <c r="K135" s="267"/>
      <c r="L135" s="267"/>
      <c r="M135" s="232"/>
      <c r="N135" s="568"/>
      <c r="O135" s="568"/>
      <c r="P135" s="232"/>
      <c r="Q135" s="267"/>
      <c r="R135" s="267"/>
      <c r="S135" s="232"/>
      <c r="T135" s="568"/>
      <c r="U135" s="568"/>
      <c r="V135" s="232"/>
      <c r="W135" s="267"/>
      <c r="X135" s="267"/>
      <c r="Y135" s="232"/>
      <c r="Z135" s="625"/>
      <c r="AA135" s="625"/>
      <c r="AB135" s="232"/>
      <c r="AC135" s="267"/>
      <c r="AD135" s="267"/>
      <c r="AE135" s="232"/>
      <c r="AF135" s="568"/>
      <c r="AG135" s="568"/>
      <c r="AH135" s="232"/>
    </row>
    <row r="136" spans="1:34">
      <c r="A136" s="60"/>
      <c r="B136" s="26"/>
      <c r="C136" s="61"/>
      <c r="D136" s="61"/>
      <c r="E136" s="223"/>
      <c r="F136" s="223"/>
      <c r="G136" s="223"/>
      <c r="H136" s="223"/>
      <c r="I136" s="619"/>
      <c r="J136" s="229" t="s">
        <v>87</v>
      </c>
      <c r="K136" s="223"/>
      <c r="L136" s="223"/>
      <c r="M136" s="237"/>
      <c r="N136" s="223"/>
      <c r="O136" s="223"/>
      <c r="P136" s="237" t="s">
        <v>87</v>
      </c>
      <c r="Q136" s="223"/>
      <c r="R136" s="223"/>
      <c r="S136" s="237"/>
      <c r="T136" s="223"/>
      <c r="U136" s="223"/>
      <c r="V136" s="237" t="s">
        <v>87</v>
      </c>
      <c r="W136" s="223"/>
      <c r="X136" s="223"/>
      <c r="Y136" s="237"/>
      <c r="Z136" s="619"/>
      <c r="AA136" s="619"/>
      <c r="AB136" s="237" t="s">
        <v>87</v>
      </c>
      <c r="AC136" s="223"/>
      <c r="AD136" s="223"/>
      <c r="AE136" s="237"/>
      <c r="AF136" s="223"/>
      <c r="AG136" s="223"/>
      <c r="AH136" s="237" t="s">
        <v>87</v>
      </c>
    </row>
    <row r="137" spans="1:34">
      <c r="A137" s="839" t="s">
        <v>88</v>
      </c>
      <c r="B137" s="839"/>
      <c r="C137" s="838" t="s">
        <v>2</v>
      </c>
      <c r="D137" s="838" t="s">
        <v>3</v>
      </c>
      <c r="E137" s="837" t="s">
        <v>76</v>
      </c>
      <c r="F137" s="838" t="s">
        <v>294</v>
      </c>
      <c r="G137" s="838" t="s">
        <v>431</v>
      </c>
      <c r="H137" s="841" t="s">
        <v>33</v>
      </c>
      <c r="I137" s="842"/>
      <c r="J137" s="843"/>
      <c r="K137" s="837" t="s">
        <v>471</v>
      </c>
      <c r="L137" s="838"/>
      <c r="M137" s="839"/>
      <c r="N137" s="837" t="s">
        <v>472</v>
      </c>
      <c r="O137" s="838"/>
      <c r="P137" s="839"/>
      <c r="Q137" s="837" t="s">
        <v>477</v>
      </c>
      <c r="R137" s="838"/>
      <c r="S137" s="839"/>
      <c r="T137" s="837" t="s">
        <v>478</v>
      </c>
      <c r="U137" s="838"/>
      <c r="V137" s="839"/>
      <c r="W137" s="837" t="s">
        <v>484</v>
      </c>
      <c r="X137" s="838"/>
      <c r="Y137" s="839"/>
      <c r="Z137" s="837" t="s">
        <v>486</v>
      </c>
      <c r="AA137" s="838"/>
      <c r="AB137" s="839"/>
      <c r="AC137" s="837" t="s">
        <v>495</v>
      </c>
      <c r="AD137" s="838"/>
      <c r="AE137" s="839"/>
      <c r="AF137" s="837" t="s">
        <v>496</v>
      </c>
      <c r="AG137" s="838"/>
      <c r="AH137" s="839"/>
    </row>
    <row r="138" spans="1:34">
      <c r="A138" s="839"/>
      <c r="B138" s="839"/>
      <c r="C138" s="838"/>
      <c r="D138" s="838"/>
      <c r="E138" s="837"/>
      <c r="F138" s="838"/>
      <c r="G138" s="838"/>
      <c r="H138" s="535" t="s">
        <v>431</v>
      </c>
      <c r="I138" s="697" t="s">
        <v>503</v>
      </c>
      <c r="J138" s="531" t="s">
        <v>5</v>
      </c>
      <c r="K138" s="535" t="s">
        <v>431</v>
      </c>
      <c r="L138" s="533" t="s">
        <v>503</v>
      </c>
      <c r="M138" s="531" t="s">
        <v>5</v>
      </c>
      <c r="N138" s="535" t="s">
        <v>431</v>
      </c>
      <c r="O138" s="533" t="s">
        <v>503</v>
      </c>
      <c r="P138" s="531" t="s">
        <v>5</v>
      </c>
      <c r="Q138" s="535" t="s">
        <v>431</v>
      </c>
      <c r="R138" s="533" t="s">
        <v>503</v>
      </c>
      <c r="S138" s="531" t="s">
        <v>5</v>
      </c>
      <c r="T138" s="535" t="s">
        <v>431</v>
      </c>
      <c r="U138" s="533" t="s">
        <v>503</v>
      </c>
      <c r="V138" s="531" t="s">
        <v>5</v>
      </c>
      <c r="W138" s="535" t="s">
        <v>431</v>
      </c>
      <c r="X138" s="533" t="s">
        <v>503</v>
      </c>
      <c r="Y138" s="531" t="s">
        <v>5</v>
      </c>
      <c r="Z138" s="698" t="s">
        <v>431</v>
      </c>
      <c r="AA138" s="697" t="s">
        <v>503</v>
      </c>
      <c r="AB138" s="531" t="s">
        <v>5</v>
      </c>
      <c r="AC138" s="535" t="s">
        <v>431</v>
      </c>
      <c r="AD138" s="533" t="s">
        <v>503</v>
      </c>
      <c r="AE138" s="531" t="s">
        <v>5</v>
      </c>
      <c r="AF138" s="535" t="s">
        <v>431</v>
      </c>
      <c r="AG138" s="533" t="s">
        <v>503</v>
      </c>
      <c r="AH138" s="531" t="s">
        <v>5</v>
      </c>
    </row>
    <row r="139" spans="1:34">
      <c r="A139" s="82"/>
      <c r="B139" s="81" t="s">
        <v>43</v>
      </c>
      <c r="C139" s="183">
        <v>18141</v>
      </c>
      <c r="D139" s="183">
        <v>20310</v>
      </c>
      <c r="E139" s="344">
        <v>20082</v>
      </c>
      <c r="F139" s="40">
        <v>20606</v>
      </c>
      <c r="G139" s="608">
        <v>24810</v>
      </c>
      <c r="H139" s="589">
        <v>1831</v>
      </c>
      <c r="I139" s="630">
        <v>1857</v>
      </c>
      <c r="J139" s="226">
        <f t="shared" ref="J139:J154" si="201">ROUND(((I139/H139-1)*100), 1)</f>
        <v>1.4</v>
      </c>
      <c r="K139" s="359">
        <f t="shared" ref="K139:K149" si="202">N139-H139</f>
        <v>1547</v>
      </c>
      <c r="L139" s="366">
        <f t="shared" ref="L139:L149" si="203">O139-I139</f>
        <v>1663</v>
      </c>
      <c r="M139" s="235">
        <f t="shared" ref="M139:M149" si="204">ROUND(((L139/K139-1)*100), 1)</f>
        <v>7.5</v>
      </c>
      <c r="N139" s="589">
        <v>3378</v>
      </c>
      <c r="O139" s="589">
        <v>3520</v>
      </c>
      <c r="P139" s="235">
        <f t="shared" ref="P139:P154" si="205">ROUND(((O139/N139-1)*100), 1)</f>
        <v>4.2</v>
      </c>
      <c r="Q139" s="359">
        <f t="shared" ref="Q139:Q145" si="206">T139-N139</f>
        <v>2158</v>
      </c>
      <c r="R139" s="366">
        <f t="shared" ref="R139:R145" si="207">U139-O139</f>
        <v>2145</v>
      </c>
      <c r="S139" s="235">
        <f t="shared" ref="S139:S145" si="208">ROUND(((R139/Q139-1)*100), 1)</f>
        <v>-0.6</v>
      </c>
      <c r="T139" s="589">
        <v>5536</v>
      </c>
      <c r="U139" s="589">
        <v>5665</v>
      </c>
      <c r="V139" s="235">
        <f t="shared" ref="V139:V154" si="209">ROUND(((U139/T139-1)*100), 1)</f>
        <v>2.2999999999999998</v>
      </c>
      <c r="W139" s="468">
        <f t="shared" ref="W139:W149" si="210">Z139-T139</f>
        <v>2124</v>
      </c>
      <c r="X139" s="366">
        <f t="shared" ref="X139:X149" si="211">AA139-U139</f>
        <v>2108</v>
      </c>
      <c r="Y139" s="235">
        <f t="shared" ref="Y139:Y149" si="212">ROUND(((X139/W139-1)*100), 1)</f>
        <v>-0.8</v>
      </c>
      <c r="Z139" s="630">
        <v>7660</v>
      </c>
      <c r="AA139" s="630">
        <v>7773</v>
      </c>
      <c r="AB139" s="235">
        <f t="shared" ref="AB139:AB155" si="213">ROUND(((AA139/Z139-1)*100), 1)</f>
        <v>1.5</v>
      </c>
      <c r="AC139" s="468">
        <f t="shared" ref="AC139:AC145" si="214">AF139-Z139</f>
        <v>1971</v>
      </c>
      <c r="AD139" s="366">
        <f t="shared" ref="AD139:AD145" si="215">AG139-AA139</f>
        <v>2271</v>
      </c>
      <c r="AE139" s="235">
        <f t="shared" ref="AE139:AE145" si="216">ROUND(((AD139/AC139-1)*100), 1)</f>
        <v>15.2</v>
      </c>
      <c r="AF139" s="589">
        <v>9631</v>
      </c>
      <c r="AG139" s="589">
        <v>10044</v>
      </c>
      <c r="AH139" s="235">
        <f t="shared" ref="AH139:AH153" si="217">ROUND(((AG139/AF139-1)*100), 1)</f>
        <v>4.3</v>
      </c>
    </row>
    <row r="140" spans="1:34">
      <c r="A140" s="82" t="s">
        <v>114</v>
      </c>
      <c r="B140" s="39" t="s">
        <v>47</v>
      </c>
      <c r="C140" s="182">
        <v>9630</v>
      </c>
      <c r="D140" s="182">
        <v>13352</v>
      </c>
      <c r="E140" s="344">
        <v>14744</v>
      </c>
      <c r="F140" s="40">
        <v>11541</v>
      </c>
      <c r="G140" s="608">
        <v>9003</v>
      </c>
      <c r="H140" s="589">
        <v>892</v>
      </c>
      <c r="I140" s="630">
        <v>896</v>
      </c>
      <c r="J140" s="226">
        <f t="shared" si="201"/>
        <v>0.4</v>
      </c>
      <c r="K140" s="359">
        <f t="shared" si="202"/>
        <v>946</v>
      </c>
      <c r="L140" s="366">
        <f t="shared" si="203"/>
        <v>708</v>
      </c>
      <c r="M140" s="235">
        <f t="shared" si="204"/>
        <v>-25.2</v>
      </c>
      <c r="N140" s="589">
        <v>1838</v>
      </c>
      <c r="O140" s="589">
        <v>1604</v>
      </c>
      <c r="P140" s="235">
        <f t="shared" si="205"/>
        <v>-12.7</v>
      </c>
      <c r="Q140" s="359">
        <f t="shared" si="206"/>
        <v>921</v>
      </c>
      <c r="R140" s="366">
        <f t="shared" si="207"/>
        <v>962</v>
      </c>
      <c r="S140" s="235">
        <f t="shared" si="208"/>
        <v>4.5</v>
      </c>
      <c r="T140" s="589">
        <v>2759</v>
      </c>
      <c r="U140" s="589">
        <v>2566</v>
      </c>
      <c r="V140" s="235">
        <f t="shared" si="209"/>
        <v>-7</v>
      </c>
      <c r="W140" s="468">
        <f t="shared" si="210"/>
        <v>879</v>
      </c>
      <c r="X140" s="366">
        <f t="shared" si="211"/>
        <v>794</v>
      </c>
      <c r="Y140" s="235">
        <f t="shared" si="212"/>
        <v>-9.6999999999999993</v>
      </c>
      <c r="Z140" s="630">
        <v>3638</v>
      </c>
      <c r="AA140" s="630">
        <v>3360</v>
      </c>
      <c r="AB140" s="235">
        <f t="shared" si="213"/>
        <v>-7.6</v>
      </c>
      <c r="AC140" s="468">
        <f t="shared" si="214"/>
        <v>660</v>
      </c>
      <c r="AD140" s="366">
        <f t="shared" si="215"/>
        <v>966</v>
      </c>
      <c r="AE140" s="235">
        <f t="shared" si="216"/>
        <v>46.4</v>
      </c>
      <c r="AF140" s="589">
        <v>4298</v>
      </c>
      <c r="AG140" s="589">
        <v>4326</v>
      </c>
      <c r="AH140" s="235">
        <f t="shared" si="217"/>
        <v>0.7</v>
      </c>
    </row>
    <row r="141" spans="1:34">
      <c r="A141" s="82"/>
      <c r="B141" s="39" t="s">
        <v>50</v>
      </c>
      <c r="C141" s="182">
        <v>6670</v>
      </c>
      <c r="D141" s="182">
        <v>7780</v>
      </c>
      <c r="E141" s="344">
        <v>7144</v>
      </c>
      <c r="F141" s="40">
        <v>7104</v>
      </c>
      <c r="G141" s="608">
        <v>7952</v>
      </c>
      <c r="H141" s="589">
        <v>699</v>
      </c>
      <c r="I141" s="630">
        <v>599</v>
      </c>
      <c r="J141" s="226">
        <f t="shared" si="201"/>
        <v>-14.3</v>
      </c>
      <c r="K141" s="359">
        <f t="shared" si="202"/>
        <v>584</v>
      </c>
      <c r="L141" s="366">
        <f t="shared" si="203"/>
        <v>687</v>
      </c>
      <c r="M141" s="235">
        <f t="shared" si="204"/>
        <v>17.600000000000001</v>
      </c>
      <c r="N141" s="589">
        <v>1283</v>
      </c>
      <c r="O141" s="589">
        <v>1286</v>
      </c>
      <c r="P141" s="235">
        <f t="shared" si="205"/>
        <v>0.2</v>
      </c>
      <c r="Q141" s="359">
        <f t="shared" si="206"/>
        <v>652</v>
      </c>
      <c r="R141" s="366">
        <f t="shared" si="207"/>
        <v>794</v>
      </c>
      <c r="S141" s="235">
        <f t="shared" si="208"/>
        <v>21.8</v>
      </c>
      <c r="T141" s="589">
        <v>1935</v>
      </c>
      <c r="U141" s="589">
        <v>2080</v>
      </c>
      <c r="V141" s="235">
        <f t="shared" si="209"/>
        <v>7.5</v>
      </c>
      <c r="W141" s="468">
        <f t="shared" si="210"/>
        <v>653</v>
      </c>
      <c r="X141" s="366">
        <f t="shared" si="211"/>
        <v>811</v>
      </c>
      <c r="Y141" s="235">
        <f t="shared" si="212"/>
        <v>24.2</v>
      </c>
      <c r="Z141" s="630">
        <v>2588</v>
      </c>
      <c r="AA141" s="630">
        <v>2891</v>
      </c>
      <c r="AB141" s="235">
        <f t="shared" si="213"/>
        <v>11.7</v>
      </c>
      <c r="AC141" s="468">
        <f t="shared" si="214"/>
        <v>807</v>
      </c>
      <c r="AD141" s="366">
        <f t="shared" si="215"/>
        <v>855</v>
      </c>
      <c r="AE141" s="235">
        <f t="shared" si="216"/>
        <v>5.9</v>
      </c>
      <c r="AF141" s="589">
        <v>3395</v>
      </c>
      <c r="AG141" s="589">
        <v>3746</v>
      </c>
      <c r="AH141" s="235">
        <f t="shared" si="217"/>
        <v>10.3</v>
      </c>
    </row>
    <row r="142" spans="1:34">
      <c r="A142" s="82"/>
      <c r="B142" s="39" t="s">
        <v>53</v>
      </c>
      <c r="C142" s="182">
        <v>11316</v>
      </c>
      <c r="D142" s="182">
        <v>11061</v>
      </c>
      <c r="E142" s="344">
        <v>10856</v>
      </c>
      <c r="F142" s="40">
        <v>8039</v>
      </c>
      <c r="G142" s="608">
        <v>5423</v>
      </c>
      <c r="H142" s="589">
        <v>572</v>
      </c>
      <c r="I142" s="630">
        <v>530</v>
      </c>
      <c r="J142" s="226">
        <f t="shared" si="201"/>
        <v>-7.3</v>
      </c>
      <c r="K142" s="359">
        <f t="shared" si="202"/>
        <v>409</v>
      </c>
      <c r="L142" s="366">
        <f t="shared" si="203"/>
        <v>422</v>
      </c>
      <c r="M142" s="235">
        <f t="shared" si="204"/>
        <v>3.2</v>
      </c>
      <c r="N142" s="589">
        <v>981</v>
      </c>
      <c r="O142" s="589">
        <v>952</v>
      </c>
      <c r="P142" s="235">
        <f t="shared" si="205"/>
        <v>-3</v>
      </c>
      <c r="Q142" s="359">
        <f t="shared" si="206"/>
        <v>649</v>
      </c>
      <c r="R142" s="366">
        <f t="shared" si="207"/>
        <v>501</v>
      </c>
      <c r="S142" s="235">
        <f t="shared" si="208"/>
        <v>-22.8</v>
      </c>
      <c r="T142" s="589">
        <v>1630</v>
      </c>
      <c r="U142" s="589">
        <v>1453</v>
      </c>
      <c r="V142" s="235">
        <f t="shared" si="209"/>
        <v>-10.9</v>
      </c>
      <c r="W142" s="468">
        <f t="shared" si="210"/>
        <v>451</v>
      </c>
      <c r="X142" s="366">
        <f t="shared" si="211"/>
        <v>466</v>
      </c>
      <c r="Y142" s="235">
        <f t="shared" si="212"/>
        <v>3.3</v>
      </c>
      <c r="Z142" s="630">
        <v>2081</v>
      </c>
      <c r="AA142" s="630">
        <v>1919</v>
      </c>
      <c r="AB142" s="235">
        <f t="shared" si="213"/>
        <v>-7.8</v>
      </c>
      <c r="AC142" s="468">
        <f t="shared" si="214"/>
        <v>407</v>
      </c>
      <c r="AD142" s="366">
        <f t="shared" si="215"/>
        <v>482</v>
      </c>
      <c r="AE142" s="235">
        <f t="shared" si="216"/>
        <v>18.399999999999999</v>
      </c>
      <c r="AF142" s="589">
        <v>2488</v>
      </c>
      <c r="AG142" s="589">
        <v>2401</v>
      </c>
      <c r="AH142" s="235">
        <f t="shared" si="217"/>
        <v>-3.5</v>
      </c>
    </row>
    <row r="143" spans="1:34">
      <c r="A143" s="82"/>
      <c r="B143" s="39" t="s">
        <v>44</v>
      </c>
      <c r="C143" s="182">
        <v>4418</v>
      </c>
      <c r="D143" s="182">
        <v>4167</v>
      </c>
      <c r="E143" s="344">
        <v>4888</v>
      </c>
      <c r="F143" s="40">
        <v>4945</v>
      </c>
      <c r="G143" s="608">
        <v>5092</v>
      </c>
      <c r="H143" s="589">
        <v>259</v>
      </c>
      <c r="I143" s="630">
        <v>347</v>
      </c>
      <c r="J143" s="226">
        <f t="shared" si="201"/>
        <v>34</v>
      </c>
      <c r="K143" s="359">
        <f t="shared" si="202"/>
        <v>446</v>
      </c>
      <c r="L143" s="366">
        <f t="shared" si="203"/>
        <v>360</v>
      </c>
      <c r="M143" s="235">
        <f t="shared" si="204"/>
        <v>-19.3</v>
      </c>
      <c r="N143" s="589">
        <v>705</v>
      </c>
      <c r="O143" s="589">
        <v>707</v>
      </c>
      <c r="P143" s="235">
        <f t="shared" si="205"/>
        <v>0.3</v>
      </c>
      <c r="Q143" s="359">
        <f t="shared" si="206"/>
        <v>575</v>
      </c>
      <c r="R143" s="366">
        <f t="shared" si="207"/>
        <v>364</v>
      </c>
      <c r="S143" s="235">
        <f t="shared" si="208"/>
        <v>-36.700000000000003</v>
      </c>
      <c r="T143" s="589">
        <v>1280</v>
      </c>
      <c r="U143" s="589">
        <v>1071</v>
      </c>
      <c r="V143" s="235">
        <f t="shared" si="209"/>
        <v>-16.3</v>
      </c>
      <c r="W143" s="468">
        <f t="shared" si="210"/>
        <v>423</v>
      </c>
      <c r="X143" s="366">
        <f t="shared" si="211"/>
        <v>424</v>
      </c>
      <c r="Y143" s="235">
        <f t="shared" si="212"/>
        <v>0.2</v>
      </c>
      <c r="Z143" s="630">
        <v>1703</v>
      </c>
      <c r="AA143" s="630">
        <v>1495</v>
      </c>
      <c r="AB143" s="235">
        <f t="shared" si="213"/>
        <v>-12.2</v>
      </c>
      <c r="AC143" s="468">
        <f t="shared" si="214"/>
        <v>356</v>
      </c>
      <c r="AD143" s="366">
        <f t="shared" si="215"/>
        <v>351</v>
      </c>
      <c r="AE143" s="235">
        <f t="shared" si="216"/>
        <v>-1.4</v>
      </c>
      <c r="AF143" s="589">
        <v>2059</v>
      </c>
      <c r="AG143" s="589">
        <v>1846</v>
      </c>
      <c r="AH143" s="235">
        <f t="shared" si="217"/>
        <v>-10.3</v>
      </c>
    </row>
    <row r="144" spans="1:34">
      <c r="A144" s="82"/>
      <c r="B144" s="39" t="s">
        <v>49</v>
      </c>
      <c r="C144" s="182">
        <v>7320</v>
      </c>
      <c r="D144" s="182">
        <v>8936</v>
      </c>
      <c r="E144" s="344">
        <v>8523</v>
      </c>
      <c r="F144" s="40">
        <v>5608</v>
      </c>
      <c r="G144" s="608">
        <v>4881</v>
      </c>
      <c r="H144" s="589">
        <v>475</v>
      </c>
      <c r="I144" s="630">
        <v>373</v>
      </c>
      <c r="J144" s="226">
        <f t="shared" si="201"/>
        <v>-21.5</v>
      </c>
      <c r="K144" s="359">
        <f t="shared" si="202"/>
        <v>464</v>
      </c>
      <c r="L144" s="366">
        <f t="shared" si="203"/>
        <v>443</v>
      </c>
      <c r="M144" s="235">
        <f t="shared" si="204"/>
        <v>-4.5</v>
      </c>
      <c r="N144" s="589">
        <v>939</v>
      </c>
      <c r="O144" s="589">
        <v>816</v>
      </c>
      <c r="P144" s="235">
        <f t="shared" si="205"/>
        <v>-13.1</v>
      </c>
      <c r="Q144" s="359">
        <f t="shared" si="206"/>
        <v>450</v>
      </c>
      <c r="R144" s="366">
        <f t="shared" si="207"/>
        <v>446</v>
      </c>
      <c r="S144" s="235">
        <f t="shared" si="208"/>
        <v>-0.9</v>
      </c>
      <c r="T144" s="589">
        <v>1389</v>
      </c>
      <c r="U144" s="589">
        <v>1262</v>
      </c>
      <c r="V144" s="235">
        <f t="shared" si="209"/>
        <v>-9.1</v>
      </c>
      <c r="W144" s="468">
        <f t="shared" si="210"/>
        <v>293</v>
      </c>
      <c r="X144" s="366">
        <f t="shared" si="211"/>
        <v>487</v>
      </c>
      <c r="Y144" s="235">
        <f t="shared" si="212"/>
        <v>66.2</v>
      </c>
      <c r="Z144" s="630">
        <v>1682</v>
      </c>
      <c r="AA144" s="630">
        <v>1749</v>
      </c>
      <c r="AB144" s="235">
        <f t="shared" si="213"/>
        <v>4</v>
      </c>
      <c r="AC144" s="468">
        <f t="shared" si="214"/>
        <v>395</v>
      </c>
      <c r="AD144" s="366">
        <f t="shared" si="215"/>
        <v>374</v>
      </c>
      <c r="AE144" s="235">
        <f t="shared" si="216"/>
        <v>-5.3</v>
      </c>
      <c r="AF144" s="589">
        <v>2077</v>
      </c>
      <c r="AG144" s="589">
        <v>2123</v>
      </c>
      <c r="AH144" s="235">
        <f t="shared" si="217"/>
        <v>2.2000000000000002</v>
      </c>
    </row>
    <row r="145" spans="1:34">
      <c r="A145" s="82"/>
      <c r="B145" s="39" t="s">
        <v>48</v>
      </c>
      <c r="C145" s="182">
        <v>2559</v>
      </c>
      <c r="D145" s="182">
        <v>3487</v>
      </c>
      <c r="E145" s="344">
        <v>4615</v>
      </c>
      <c r="F145" s="40">
        <v>4827</v>
      </c>
      <c r="G145" s="608">
        <v>3703</v>
      </c>
      <c r="H145" s="589">
        <v>227</v>
      </c>
      <c r="I145" s="630">
        <v>293</v>
      </c>
      <c r="J145" s="226">
        <f t="shared" si="201"/>
        <v>29.1</v>
      </c>
      <c r="K145" s="359">
        <f t="shared" si="202"/>
        <v>353</v>
      </c>
      <c r="L145" s="366">
        <f t="shared" si="203"/>
        <v>344</v>
      </c>
      <c r="M145" s="235">
        <f t="shared" si="204"/>
        <v>-2.5</v>
      </c>
      <c r="N145" s="589">
        <v>580</v>
      </c>
      <c r="O145" s="589">
        <v>637</v>
      </c>
      <c r="P145" s="235">
        <f t="shared" si="205"/>
        <v>9.8000000000000007</v>
      </c>
      <c r="Q145" s="359">
        <f t="shared" si="206"/>
        <v>413</v>
      </c>
      <c r="R145" s="366">
        <f t="shared" si="207"/>
        <v>413</v>
      </c>
      <c r="S145" s="235">
        <f t="shared" si="208"/>
        <v>0</v>
      </c>
      <c r="T145" s="589">
        <v>993</v>
      </c>
      <c r="U145" s="589">
        <v>1050</v>
      </c>
      <c r="V145" s="235">
        <f t="shared" si="209"/>
        <v>5.7</v>
      </c>
      <c r="W145" s="468">
        <f t="shared" si="210"/>
        <v>301</v>
      </c>
      <c r="X145" s="366">
        <f t="shared" si="211"/>
        <v>457</v>
      </c>
      <c r="Y145" s="235">
        <f t="shared" si="212"/>
        <v>51.8</v>
      </c>
      <c r="Z145" s="630">
        <v>1294</v>
      </c>
      <c r="AA145" s="630">
        <v>1507</v>
      </c>
      <c r="AB145" s="235">
        <f t="shared" si="213"/>
        <v>16.5</v>
      </c>
      <c r="AC145" s="468">
        <f t="shared" si="214"/>
        <v>96</v>
      </c>
      <c r="AD145" s="366">
        <f t="shared" si="215"/>
        <v>337</v>
      </c>
      <c r="AE145" s="235">
        <f t="shared" si="216"/>
        <v>251</v>
      </c>
      <c r="AF145" s="589">
        <v>1390</v>
      </c>
      <c r="AG145" s="589">
        <v>1844</v>
      </c>
      <c r="AH145" s="235">
        <f t="shared" si="217"/>
        <v>32.700000000000003</v>
      </c>
    </row>
    <row r="146" spans="1:34">
      <c r="A146" s="82"/>
      <c r="B146" s="39" t="s">
        <v>52</v>
      </c>
      <c r="C146" s="182">
        <v>4198</v>
      </c>
      <c r="D146" s="182">
        <v>3986</v>
      </c>
      <c r="E146" s="344">
        <v>4462</v>
      </c>
      <c r="F146" s="40">
        <v>4356</v>
      </c>
      <c r="G146" s="608">
        <v>3480</v>
      </c>
      <c r="H146" s="589">
        <v>226</v>
      </c>
      <c r="I146" s="630">
        <v>312</v>
      </c>
      <c r="J146" s="226">
        <f t="shared" si="201"/>
        <v>38.1</v>
      </c>
      <c r="K146" s="359">
        <f t="shared" si="202"/>
        <v>259</v>
      </c>
      <c r="L146" s="366">
        <f t="shared" si="203"/>
        <v>219</v>
      </c>
      <c r="M146" s="235">
        <f t="shared" si="204"/>
        <v>-15.4</v>
      </c>
      <c r="N146" s="589">
        <v>485</v>
      </c>
      <c r="O146" s="589">
        <v>531</v>
      </c>
      <c r="P146" s="235">
        <f t="shared" si="205"/>
        <v>9.5</v>
      </c>
      <c r="Q146" s="587">
        <f t="shared" ref="Q146:Q154" si="218">T146-N146</f>
        <v>839</v>
      </c>
      <c r="R146" s="589">
        <f t="shared" ref="R146:R154" si="219">U146-O146</f>
        <v>989</v>
      </c>
      <c r="S146" s="571">
        <f t="shared" ref="S146:S154" si="220">ROUND(((R146/Q146-1)*100), 1)</f>
        <v>17.899999999999999</v>
      </c>
      <c r="T146" s="589">
        <v>1324</v>
      </c>
      <c r="U146" s="589">
        <v>1520</v>
      </c>
      <c r="V146" s="235">
        <f t="shared" si="209"/>
        <v>14.8</v>
      </c>
      <c r="W146" s="468">
        <f t="shared" si="210"/>
        <v>247</v>
      </c>
      <c r="X146" s="366">
        <f t="shared" si="211"/>
        <v>223</v>
      </c>
      <c r="Y146" s="235">
        <f t="shared" si="212"/>
        <v>-9.6999999999999993</v>
      </c>
      <c r="Z146" s="630">
        <v>1571</v>
      </c>
      <c r="AA146" s="630">
        <v>1743</v>
      </c>
      <c r="AB146" s="235">
        <f t="shared" si="213"/>
        <v>10.9</v>
      </c>
      <c r="AC146" s="587">
        <f t="shared" ref="AC146:AC156" si="221">AF146-Z146</f>
        <v>112</v>
      </c>
      <c r="AD146" s="589">
        <f t="shared" ref="AD146:AD156" si="222">AG146-AA146</f>
        <v>243</v>
      </c>
      <c r="AE146" s="571">
        <f t="shared" ref="AE146:AE154" si="223">ROUND(((AD146/AC146-1)*100), 1)</f>
        <v>117</v>
      </c>
      <c r="AF146" s="589">
        <v>1683</v>
      </c>
      <c r="AG146" s="589">
        <v>1986</v>
      </c>
      <c r="AH146" s="571">
        <f t="shared" si="217"/>
        <v>18</v>
      </c>
    </row>
    <row r="147" spans="1:34">
      <c r="A147" s="82"/>
      <c r="B147" s="39" t="s">
        <v>51</v>
      </c>
      <c r="C147" s="182">
        <v>2069</v>
      </c>
      <c r="D147" s="182">
        <v>2338</v>
      </c>
      <c r="E147" s="344">
        <v>2628</v>
      </c>
      <c r="F147" s="40">
        <v>2333</v>
      </c>
      <c r="G147" s="608">
        <v>2235</v>
      </c>
      <c r="H147" s="589">
        <v>195</v>
      </c>
      <c r="I147" s="630">
        <v>160</v>
      </c>
      <c r="J147" s="226">
        <f t="shared" si="201"/>
        <v>-17.899999999999999</v>
      </c>
      <c r="K147" s="359">
        <f t="shared" si="202"/>
        <v>318</v>
      </c>
      <c r="L147" s="366">
        <f t="shared" si="203"/>
        <v>156</v>
      </c>
      <c r="M147" s="235">
        <f t="shared" si="204"/>
        <v>-50.9</v>
      </c>
      <c r="N147" s="589">
        <v>513</v>
      </c>
      <c r="O147" s="589">
        <v>316</v>
      </c>
      <c r="P147" s="235">
        <f t="shared" si="205"/>
        <v>-38.4</v>
      </c>
      <c r="Q147" s="587">
        <f t="shared" si="218"/>
        <v>293</v>
      </c>
      <c r="R147" s="589">
        <f t="shared" si="219"/>
        <v>181</v>
      </c>
      <c r="S147" s="571">
        <f t="shared" si="220"/>
        <v>-38.200000000000003</v>
      </c>
      <c r="T147" s="589">
        <v>806</v>
      </c>
      <c r="U147" s="589">
        <v>497</v>
      </c>
      <c r="V147" s="235">
        <f t="shared" si="209"/>
        <v>-38.299999999999997</v>
      </c>
      <c r="W147" s="468">
        <f t="shared" si="210"/>
        <v>231</v>
      </c>
      <c r="X147" s="366">
        <f t="shared" si="211"/>
        <v>176</v>
      </c>
      <c r="Y147" s="235">
        <f t="shared" si="212"/>
        <v>-23.8</v>
      </c>
      <c r="Z147" s="630">
        <v>1037</v>
      </c>
      <c r="AA147" s="630">
        <v>673</v>
      </c>
      <c r="AB147" s="235">
        <f t="shared" si="213"/>
        <v>-35.1</v>
      </c>
      <c r="AC147" s="587">
        <f t="shared" si="221"/>
        <v>103</v>
      </c>
      <c r="AD147" s="589">
        <f t="shared" si="222"/>
        <v>209</v>
      </c>
      <c r="AE147" s="571">
        <f t="shared" si="223"/>
        <v>102.9</v>
      </c>
      <c r="AF147" s="589">
        <v>1140</v>
      </c>
      <c r="AG147" s="589">
        <v>882</v>
      </c>
      <c r="AH147" s="571">
        <f t="shared" si="217"/>
        <v>-22.6</v>
      </c>
    </row>
    <row r="148" spans="1:34">
      <c r="A148" s="82"/>
      <c r="B148" s="39" t="s">
        <v>45</v>
      </c>
      <c r="C148" s="182">
        <v>2326</v>
      </c>
      <c r="D148" s="182">
        <v>3117</v>
      </c>
      <c r="E148" s="344">
        <v>2626</v>
      </c>
      <c r="F148" s="40">
        <v>2130</v>
      </c>
      <c r="G148" s="608">
        <v>1616</v>
      </c>
      <c r="H148" s="589">
        <v>73</v>
      </c>
      <c r="I148" s="630">
        <v>179</v>
      </c>
      <c r="J148" s="226">
        <f t="shared" si="201"/>
        <v>145.19999999999999</v>
      </c>
      <c r="K148" s="359">
        <f t="shared" si="202"/>
        <v>164</v>
      </c>
      <c r="L148" s="366">
        <f t="shared" si="203"/>
        <v>189</v>
      </c>
      <c r="M148" s="235">
        <f t="shared" si="204"/>
        <v>15.2</v>
      </c>
      <c r="N148" s="589">
        <v>237</v>
      </c>
      <c r="O148" s="589">
        <v>368</v>
      </c>
      <c r="P148" s="235">
        <f t="shared" si="205"/>
        <v>55.3</v>
      </c>
      <c r="Q148" s="587">
        <f t="shared" si="218"/>
        <v>167</v>
      </c>
      <c r="R148" s="589">
        <f t="shared" si="219"/>
        <v>210</v>
      </c>
      <c r="S148" s="571">
        <f t="shared" si="220"/>
        <v>25.7</v>
      </c>
      <c r="T148" s="589">
        <v>404</v>
      </c>
      <c r="U148" s="589">
        <v>578</v>
      </c>
      <c r="V148" s="235">
        <f t="shared" si="209"/>
        <v>43.1</v>
      </c>
      <c r="W148" s="468">
        <f t="shared" si="210"/>
        <v>120</v>
      </c>
      <c r="X148" s="366">
        <f t="shared" si="211"/>
        <v>175</v>
      </c>
      <c r="Y148" s="235">
        <f t="shared" si="212"/>
        <v>45.8</v>
      </c>
      <c r="Z148" s="630">
        <v>524</v>
      </c>
      <c r="AA148" s="630">
        <v>753</v>
      </c>
      <c r="AB148" s="235">
        <f t="shared" si="213"/>
        <v>43.7</v>
      </c>
      <c r="AC148" s="587">
        <f t="shared" si="221"/>
        <v>45</v>
      </c>
      <c r="AD148" s="589">
        <f t="shared" si="222"/>
        <v>165</v>
      </c>
      <c r="AE148" s="571">
        <f t="shared" si="223"/>
        <v>266.7</v>
      </c>
      <c r="AF148" s="589">
        <v>569</v>
      </c>
      <c r="AG148" s="589">
        <v>918</v>
      </c>
      <c r="AH148" s="571">
        <f t="shared" si="217"/>
        <v>61.3</v>
      </c>
    </row>
    <row r="149" spans="1:34">
      <c r="A149" s="82"/>
      <c r="B149" s="39" t="s">
        <v>387</v>
      </c>
      <c r="C149" s="182">
        <v>295</v>
      </c>
      <c r="D149" s="182">
        <v>398</v>
      </c>
      <c r="E149" s="344">
        <v>547</v>
      </c>
      <c r="F149" s="40">
        <v>595</v>
      </c>
      <c r="G149" s="608">
        <v>880</v>
      </c>
      <c r="H149" s="589">
        <v>67</v>
      </c>
      <c r="I149" s="630">
        <v>28</v>
      </c>
      <c r="J149" s="226">
        <f t="shared" si="201"/>
        <v>-58.2</v>
      </c>
      <c r="K149" s="359">
        <f t="shared" si="202"/>
        <v>41</v>
      </c>
      <c r="L149" s="366">
        <f t="shared" si="203"/>
        <v>149</v>
      </c>
      <c r="M149" s="235">
        <f t="shared" si="204"/>
        <v>263.39999999999998</v>
      </c>
      <c r="N149" s="589">
        <v>108</v>
      </c>
      <c r="O149" s="589">
        <v>177</v>
      </c>
      <c r="P149" s="235">
        <f t="shared" si="205"/>
        <v>63.9</v>
      </c>
      <c r="Q149" s="587">
        <f t="shared" si="218"/>
        <v>21</v>
      </c>
      <c r="R149" s="589">
        <f t="shared" si="219"/>
        <v>97</v>
      </c>
      <c r="S149" s="571">
        <f t="shared" si="220"/>
        <v>361.9</v>
      </c>
      <c r="T149" s="589">
        <v>129</v>
      </c>
      <c r="U149" s="589">
        <v>274</v>
      </c>
      <c r="V149" s="571">
        <f t="shared" si="209"/>
        <v>112.4</v>
      </c>
      <c r="W149" s="468">
        <f t="shared" si="210"/>
        <v>9</v>
      </c>
      <c r="X149" s="366">
        <f t="shared" si="211"/>
        <v>108</v>
      </c>
      <c r="Y149" s="235">
        <f t="shared" si="212"/>
        <v>1100</v>
      </c>
      <c r="Z149" s="630">
        <v>138</v>
      </c>
      <c r="AA149" s="630">
        <v>382</v>
      </c>
      <c r="AB149" s="235">
        <f t="shared" si="213"/>
        <v>176.8</v>
      </c>
      <c r="AC149" s="587">
        <f t="shared" si="221"/>
        <v>4</v>
      </c>
      <c r="AD149" s="589">
        <f t="shared" si="222"/>
        <v>115</v>
      </c>
      <c r="AE149" s="571">
        <f t="shared" si="223"/>
        <v>2775</v>
      </c>
      <c r="AF149" s="589">
        <v>142</v>
      </c>
      <c r="AG149" s="589">
        <v>497</v>
      </c>
      <c r="AH149" s="571">
        <f t="shared" si="217"/>
        <v>250</v>
      </c>
    </row>
    <row r="150" spans="1:34" s="605" customFormat="1">
      <c r="A150" s="82"/>
      <c r="B150" s="611" t="s">
        <v>514</v>
      </c>
      <c r="C150" s="613">
        <v>0</v>
      </c>
      <c r="D150" s="613">
        <v>1</v>
      </c>
      <c r="E150" s="583">
        <v>0</v>
      </c>
      <c r="F150" s="608">
        <v>104</v>
      </c>
      <c r="G150" s="608">
        <v>728</v>
      </c>
      <c r="H150" s="589">
        <v>42</v>
      </c>
      <c r="I150" s="630">
        <v>108</v>
      </c>
      <c r="J150" s="571">
        <f t="shared" si="201"/>
        <v>157.1</v>
      </c>
      <c r="K150" s="587">
        <f t="shared" ref="K150:K154" si="224">N150-H150</f>
        <v>62</v>
      </c>
      <c r="L150" s="589">
        <f t="shared" ref="L150:L154" si="225">O150-I150</f>
        <v>112</v>
      </c>
      <c r="M150" s="571">
        <f t="shared" ref="M150:M154" si="226">ROUND(((L150/K150-1)*100), 1)</f>
        <v>80.599999999999994</v>
      </c>
      <c r="N150" s="589">
        <v>104</v>
      </c>
      <c r="O150" s="589">
        <v>220</v>
      </c>
      <c r="P150" s="571">
        <f t="shared" si="205"/>
        <v>111.5</v>
      </c>
      <c r="Q150" s="587">
        <f t="shared" si="218"/>
        <v>44</v>
      </c>
      <c r="R150" s="589">
        <f t="shared" si="219"/>
        <v>66</v>
      </c>
      <c r="S150" s="571">
        <f t="shared" si="220"/>
        <v>50</v>
      </c>
      <c r="T150" s="589">
        <v>148</v>
      </c>
      <c r="U150" s="589">
        <v>286</v>
      </c>
      <c r="V150" s="571">
        <f t="shared" si="209"/>
        <v>93.2</v>
      </c>
      <c r="W150" s="587">
        <f t="shared" ref="W150:W157" si="227">Z150-T150</f>
        <v>44</v>
      </c>
      <c r="X150" s="589">
        <f t="shared" ref="X150:X157" si="228">AA150-U150</f>
        <v>90</v>
      </c>
      <c r="Y150" s="571">
        <f t="shared" ref="Y150:Y154" si="229">ROUND(((X150/W150-1)*100), 1)</f>
        <v>104.5</v>
      </c>
      <c r="Z150" s="630">
        <v>192</v>
      </c>
      <c r="AA150" s="630">
        <v>376</v>
      </c>
      <c r="AB150" s="571">
        <f t="shared" si="213"/>
        <v>95.8</v>
      </c>
      <c r="AC150" s="587">
        <f t="shared" si="221"/>
        <v>22</v>
      </c>
      <c r="AD150" s="589">
        <f t="shared" si="222"/>
        <v>22</v>
      </c>
      <c r="AE150" s="571">
        <f t="shared" si="223"/>
        <v>0</v>
      </c>
      <c r="AF150" s="589">
        <v>214</v>
      </c>
      <c r="AG150" s="589">
        <v>398</v>
      </c>
      <c r="AH150" s="571">
        <f t="shared" si="217"/>
        <v>86</v>
      </c>
    </row>
    <row r="151" spans="1:34">
      <c r="A151" s="82"/>
      <c r="B151" s="39" t="s">
        <v>386</v>
      </c>
      <c r="C151" s="182">
        <v>796</v>
      </c>
      <c r="D151" s="182">
        <v>595</v>
      </c>
      <c r="E151" s="344">
        <v>885</v>
      </c>
      <c r="F151" s="40">
        <v>585</v>
      </c>
      <c r="G151" s="608">
        <v>626</v>
      </c>
      <c r="H151" s="589">
        <v>0</v>
      </c>
      <c r="I151" s="630">
        <v>173</v>
      </c>
      <c r="J151" s="579">
        <v>0</v>
      </c>
      <c r="K151" s="587">
        <f t="shared" si="224"/>
        <v>79</v>
      </c>
      <c r="L151" s="589">
        <f t="shared" si="225"/>
        <v>93</v>
      </c>
      <c r="M151" s="571">
        <f t="shared" si="226"/>
        <v>17.7</v>
      </c>
      <c r="N151" s="589">
        <v>79</v>
      </c>
      <c r="O151" s="589">
        <v>266</v>
      </c>
      <c r="P151" s="571">
        <f t="shared" si="205"/>
        <v>236.7</v>
      </c>
      <c r="Q151" s="587">
        <f t="shared" si="218"/>
        <v>294</v>
      </c>
      <c r="R151" s="589">
        <f t="shared" si="219"/>
        <v>0</v>
      </c>
      <c r="S151" s="571">
        <f t="shared" si="220"/>
        <v>-100</v>
      </c>
      <c r="T151" s="589">
        <v>373</v>
      </c>
      <c r="U151" s="589">
        <v>266</v>
      </c>
      <c r="V151" s="571">
        <f t="shared" si="209"/>
        <v>-28.7</v>
      </c>
      <c r="W151" s="587">
        <f t="shared" si="227"/>
        <v>98</v>
      </c>
      <c r="X151" s="589">
        <f t="shared" si="228"/>
        <v>100</v>
      </c>
      <c r="Y151" s="571">
        <f t="shared" si="229"/>
        <v>2</v>
      </c>
      <c r="Z151" s="630">
        <v>471</v>
      </c>
      <c r="AA151" s="630">
        <v>366</v>
      </c>
      <c r="AB151" s="571">
        <f t="shared" si="213"/>
        <v>-22.3</v>
      </c>
      <c r="AC151" s="587">
        <f t="shared" si="221"/>
        <v>155</v>
      </c>
      <c r="AD151" s="589">
        <f t="shared" si="222"/>
        <v>63</v>
      </c>
      <c r="AE151" s="571">
        <f t="shared" si="223"/>
        <v>-59.4</v>
      </c>
      <c r="AF151" s="589">
        <v>626</v>
      </c>
      <c r="AG151" s="589">
        <v>429</v>
      </c>
      <c r="AH151" s="571">
        <f t="shared" si="217"/>
        <v>-31.5</v>
      </c>
    </row>
    <row r="152" spans="1:34" s="605" customFormat="1">
      <c r="A152" s="82"/>
      <c r="B152" s="611" t="s">
        <v>515</v>
      </c>
      <c r="C152" s="613">
        <v>2</v>
      </c>
      <c r="D152" s="613">
        <v>0</v>
      </c>
      <c r="E152" s="583">
        <v>2</v>
      </c>
      <c r="F152" s="608">
        <v>1</v>
      </c>
      <c r="G152" s="608">
        <v>454</v>
      </c>
      <c r="H152" s="589">
        <v>11</v>
      </c>
      <c r="I152" s="630">
        <v>58</v>
      </c>
      <c r="J152" s="571">
        <f t="shared" si="201"/>
        <v>427.3</v>
      </c>
      <c r="K152" s="587">
        <f t="shared" si="224"/>
        <v>48</v>
      </c>
      <c r="L152" s="589">
        <f t="shared" si="225"/>
        <v>62</v>
      </c>
      <c r="M152" s="571">
        <f t="shared" si="226"/>
        <v>29.2</v>
      </c>
      <c r="N152" s="589">
        <v>59</v>
      </c>
      <c r="O152" s="589">
        <v>120</v>
      </c>
      <c r="P152" s="571">
        <f t="shared" si="205"/>
        <v>103.4</v>
      </c>
      <c r="Q152" s="587">
        <f t="shared" si="218"/>
        <v>44</v>
      </c>
      <c r="R152" s="589">
        <f t="shared" si="219"/>
        <v>58</v>
      </c>
      <c r="S152" s="571">
        <f t="shared" si="220"/>
        <v>31.8</v>
      </c>
      <c r="T152" s="589">
        <v>103</v>
      </c>
      <c r="U152" s="589">
        <v>178</v>
      </c>
      <c r="V152" s="571">
        <f t="shared" si="209"/>
        <v>72.8</v>
      </c>
      <c r="W152" s="587">
        <f t="shared" si="227"/>
        <v>39</v>
      </c>
      <c r="X152" s="589">
        <f t="shared" si="228"/>
        <v>81</v>
      </c>
      <c r="Y152" s="571">
        <f t="shared" si="229"/>
        <v>107.7</v>
      </c>
      <c r="Z152" s="630">
        <v>142</v>
      </c>
      <c r="AA152" s="630">
        <v>259</v>
      </c>
      <c r="AB152" s="571">
        <f t="shared" si="213"/>
        <v>82.4</v>
      </c>
      <c r="AC152" s="587">
        <f t="shared" si="221"/>
        <v>40</v>
      </c>
      <c r="AD152" s="589">
        <f t="shared" si="222"/>
        <v>60</v>
      </c>
      <c r="AE152" s="571">
        <f t="shared" si="223"/>
        <v>50</v>
      </c>
      <c r="AF152" s="589">
        <v>182</v>
      </c>
      <c r="AG152" s="589">
        <v>319</v>
      </c>
      <c r="AH152" s="571">
        <f t="shared" si="217"/>
        <v>75.3</v>
      </c>
    </row>
    <row r="153" spans="1:34">
      <c r="A153" s="82"/>
      <c r="B153" s="39" t="s">
        <v>388</v>
      </c>
      <c r="C153" s="182">
        <v>183</v>
      </c>
      <c r="D153" s="182">
        <v>297</v>
      </c>
      <c r="E153" s="344">
        <v>267</v>
      </c>
      <c r="F153" s="40">
        <v>205</v>
      </c>
      <c r="G153" s="608">
        <v>328</v>
      </c>
      <c r="H153" s="589">
        <v>54</v>
      </c>
      <c r="I153" s="630">
        <v>18</v>
      </c>
      <c r="J153" s="571">
        <f t="shared" si="201"/>
        <v>-66.7</v>
      </c>
      <c r="K153" s="587">
        <f t="shared" si="224"/>
        <v>48</v>
      </c>
      <c r="L153" s="589">
        <f t="shared" si="225"/>
        <v>34</v>
      </c>
      <c r="M153" s="571">
        <f t="shared" si="226"/>
        <v>-29.2</v>
      </c>
      <c r="N153" s="589">
        <v>102</v>
      </c>
      <c r="O153" s="589">
        <v>52</v>
      </c>
      <c r="P153" s="571">
        <f t="shared" si="205"/>
        <v>-49</v>
      </c>
      <c r="Q153" s="587">
        <f t="shared" si="218"/>
        <v>15</v>
      </c>
      <c r="R153" s="589">
        <f t="shared" si="219"/>
        <v>18</v>
      </c>
      <c r="S153" s="571">
        <f t="shared" si="220"/>
        <v>20</v>
      </c>
      <c r="T153" s="589">
        <v>117</v>
      </c>
      <c r="U153" s="589">
        <v>70</v>
      </c>
      <c r="V153" s="571">
        <f t="shared" si="209"/>
        <v>-40.200000000000003</v>
      </c>
      <c r="W153" s="587">
        <f t="shared" si="227"/>
        <v>0</v>
      </c>
      <c r="X153" s="589">
        <f t="shared" si="228"/>
        <v>41</v>
      </c>
      <c r="Y153" s="579">
        <v>0</v>
      </c>
      <c r="Z153" s="630">
        <v>117</v>
      </c>
      <c r="AA153" s="630">
        <v>111</v>
      </c>
      <c r="AB153" s="571">
        <f t="shared" si="213"/>
        <v>-5.0999999999999996</v>
      </c>
      <c r="AC153" s="587">
        <f t="shared" si="221"/>
        <v>12</v>
      </c>
      <c r="AD153" s="589">
        <f t="shared" si="222"/>
        <v>55</v>
      </c>
      <c r="AE153" s="571">
        <f t="shared" si="223"/>
        <v>358.3</v>
      </c>
      <c r="AF153" s="589">
        <v>129</v>
      </c>
      <c r="AG153" s="589">
        <v>166</v>
      </c>
      <c r="AH153" s="571">
        <f t="shared" si="217"/>
        <v>28.7</v>
      </c>
    </row>
    <row r="154" spans="1:34">
      <c r="A154" s="82"/>
      <c r="B154" s="39" t="s">
        <v>54</v>
      </c>
      <c r="C154" s="182">
        <v>107</v>
      </c>
      <c r="D154" s="182">
        <v>163</v>
      </c>
      <c r="E154" s="344">
        <v>219</v>
      </c>
      <c r="F154" s="40">
        <v>161</v>
      </c>
      <c r="G154" s="608">
        <v>221</v>
      </c>
      <c r="H154" s="589">
        <v>4</v>
      </c>
      <c r="I154" s="630">
        <v>69</v>
      </c>
      <c r="J154" s="571">
        <f t="shared" si="201"/>
        <v>1625</v>
      </c>
      <c r="K154" s="587">
        <f t="shared" si="224"/>
        <v>3</v>
      </c>
      <c r="L154" s="589">
        <f t="shared" si="225"/>
        <v>1</v>
      </c>
      <c r="M154" s="571">
        <f t="shared" si="226"/>
        <v>-66.7</v>
      </c>
      <c r="N154" s="589">
        <v>7</v>
      </c>
      <c r="O154" s="589">
        <v>70</v>
      </c>
      <c r="P154" s="571">
        <f t="shared" si="205"/>
        <v>900</v>
      </c>
      <c r="Q154" s="587">
        <f t="shared" si="218"/>
        <v>28</v>
      </c>
      <c r="R154" s="589">
        <f t="shared" si="219"/>
        <v>23</v>
      </c>
      <c r="S154" s="571">
        <f t="shared" si="220"/>
        <v>-17.899999999999999</v>
      </c>
      <c r="T154" s="589">
        <v>35</v>
      </c>
      <c r="U154" s="589">
        <v>93</v>
      </c>
      <c r="V154" s="571">
        <f t="shared" si="209"/>
        <v>165.7</v>
      </c>
      <c r="W154" s="587">
        <f t="shared" si="227"/>
        <v>4</v>
      </c>
      <c r="X154" s="589">
        <f t="shared" si="228"/>
        <v>4</v>
      </c>
      <c r="Y154" s="571">
        <f t="shared" si="229"/>
        <v>0</v>
      </c>
      <c r="Z154" s="630">
        <v>39</v>
      </c>
      <c r="AA154" s="630">
        <v>97</v>
      </c>
      <c r="AB154" s="571">
        <f t="shared" si="213"/>
        <v>148.69999999999999</v>
      </c>
      <c r="AC154" s="587">
        <f t="shared" si="221"/>
        <v>3</v>
      </c>
      <c r="AD154" s="589">
        <f t="shared" si="222"/>
        <v>6</v>
      </c>
      <c r="AE154" s="571">
        <f t="shared" si="223"/>
        <v>100</v>
      </c>
      <c r="AF154" s="589">
        <v>42</v>
      </c>
      <c r="AG154" s="589">
        <v>103</v>
      </c>
      <c r="AH154" s="235">
        <f>ROUND(((AG154/AF154-1)*100), 1)</f>
        <v>145.19999999999999</v>
      </c>
    </row>
    <row r="155" spans="1:34">
      <c r="A155" s="82"/>
      <c r="B155" s="39" t="s">
        <v>389</v>
      </c>
      <c r="C155" s="182">
        <v>270</v>
      </c>
      <c r="D155" s="182">
        <v>367</v>
      </c>
      <c r="E155" s="344">
        <v>235</v>
      </c>
      <c r="F155" s="40">
        <v>336</v>
      </c>
      <c r="G155" s="608">
        <v>159</v>
      </c>
      <c r="H155" s="589">
        <v>0</v>
      </c>
      <c r="I155" s="630">
        <v>0</v>
      </c>
      <c r="J155" s="579">
        <v>0</v>
      </c>
      <c r="K155" s="359">
        <f t="shared" ref="K155:L157" si="230">N155-H155</f>
        <v>0</v>
      </c>
      <c r="L155" s="366">
        <f t="shared" si="230"/>
        <v>0</v>
      </c>
      <c r="M155" s="570">
        <v>0</v>
      </c>
      <c r="N155" s="589">
        <v>0</v>
      </c>
      <c r="O155" s="589">
        <v>0</v>
      </c>
      <c r="P155" s="570">
        <v>0</v>
      </c>
      <c r="Q155" s="359">
        <f t="shared" ref="Q155:R157" si="231">T155-N155</f>
        <v>39</v>
      </c>
      <c r="R155" s="366">
        <f t="shared" si="231"/>
        <v>0</v>
      </c>
      <c r="S155" s="235">
        <f>ROUND(((R155/Q155-1)*100), 1)</f>
        <v>-100</v>
      </c>
      <c r="T155" s="589">
        <v>39</v>
      </c>
      <c r="U155" s="589">
        <v>0</v>
      </c>
      <c r="V155" s="235">
        <f>ROUND(((U155/T155-1)*100), 1)</f>
        <v>-100</v>
      </c>
      <c r="W155" s="587">
        <f t="shared" si="227"/>
        <v>0</v>
      </c>
      <c r="X155" s="589">
        <f t="shared" si="228"/>
        <v>0</v>
      </c>
      <c r="Y155" s="579">
        <v>0</v>
      </c>
      <c r="Z155" s="630">
        <v>39</v>
      </c>
      <c r="AA155" s="630">
        <v>0</v>
      </c>
      <c r="AB155" s="571">
        <f t="shared" si="213"/>
        <v>-100</v>
      </c>
      <c r="AC155" s="587">
        <f t="shared" si="221"/>
        <v>0</v>
      </c>
      <c r="AD155" s="589">
        <f t="shared" si="222"/>
        <v>0</v>
      </c>
      <c r="AE155" s="579">
        <v>0</v>
      </c>
      <c r="AF155" s="589">
        <v>39</v>
      </c>
      <c r="AG155" s="589">
        <v>0</v>
      </c>
      <c r="AH155" s="235">
        <f>ROUND(((AG155/AF155-1)*100), 1)</f>
        <v>-100</v>
      </c>
    </row>
    <row r="156" spans="1:34" s="277" customFormat="1">
      <c r="A156" s="82"/>
      <c r="B156" s="39" t="s">
        <v>435</v>
      </c>
      <c r="C156" s="182">
        <v>0</v>
      </c>
      <c r="D156" s="182">
        <v>5</v>
      </c>
      <c r="E156" s="344">
        <v>21</v>
      </c>
      <c r="F156" s="40">
        <v>113</v>
      </c>
      <c r="G156" s="608">
        <v>130</v>
      </c>
      <c r="H156" s="589">
        <v>5</v>
      </c>
      <c r="I156" s="630">
        <v>5</v>
      </c>
      <c r="J156" s="235">
        <f>ROUND(((I156/H156-1)*100), 1)</f>
        <v>0</v>
      </c>
      <c r="K156" s="359">
        <f t="shared" si="230"/>
        <v>8</v>
      </c>
      <c r="L156" s="366">
        <f t="shared" si="230"/>
        <v>10</v>
      </c>
      <c r="M156" s="235">
        <f>ROUND(((L156/K156-1)*100), 1)</f>
        <v>25</v>
      </c>
      <c r="N156" s="589">
        <v>13</v>
      </c>
      <c r="O156" s="589">
        <v>15</v>
      </c>
      <c r="P156" s="235">
        <f>ROUND(((O156/N156-1)*100), 1)</f>
        <v>15.4</v>
      </c>
      <c r="Q156" s="359">
        <f t="shared" si="231"/>
        <v>13</v>
      </c>
      <c r="R156" s="366">
        <f t="shared" si="231"/>
        <v>8</v>
      </c>
      <c r="S156" s="571">
        <f>ROUND(((R156/Q156-1)*100), 1)</f>
        <v>-38.5</v>
      </c>
      <c r="T156" s="589">
        <v>26</v>
      </c>
      <c r="U156" s="589">
        <v>23</v>
      </c>
      <c r="V156" s="235">
        <f>ROUND(((U156/T156-1)*100), 1)</f>
        <v>-11.5</v>
      </c>
      <c r="W156" s="587">
        <f t="shared" si="227"/>
        <v>0</v>
      </c>
      <c r="X156" s="589">
        <f t="shared" si="228"/>
        <v>21</v>
      </c>
      <c r="Y156" s="579">
        <v>0</v>
      </c>
      <c r="Z156" s="630">
        <v>26</v>
      </c>
      <c r="AA156" s="630">
        <v>44</v>
      </c>
      <c r="AB156" s="235">
        <f>ROUND(((AA156/Z156-1)*100), 1)</f>
        <v>69.2</v>
      </c>
      <c r="AC156" s="587">
        <f t="shared" si="221"/>
        <v>0</v>
      </c>
      <c r="AD156" s="589">
        <f t="shared" si="222"/>
        <v>8</v>
      </c>
      <c r="AE156" s="579">
        <v>0</v>
      </c>
      <c r="AF156" s="589">
        <v>26</v>
      </c>
      <c r="AG156" s="589">
        <v>52</v>
      </c>
      <c r="AH156" s="235">
        <f>ROUND(((AG156/AF156-1)*100), 1)</f>
        <v>100</v>
      </c>
    </row>
    <row r="157" spans="1:34" s="277" customFormat="1">
      <c r="A157" s="82"/>
      <c r="B157" s="39" t="s">
        <v>434</v>
      </c>
      <c r="C157" s="182">
        <v>36</v>
      </c>
      <c r="D157" s="182">
        <v>97</v>
      </c>
      <c r="E157" s="344">
        <v>79</v>
      </c>
      <c r="F157" s="40">
        <v>115</v>
      </c>
      <c r="G157" s="608">
        <v>19</v>
      </c>
      <c r="H157" s="589">
        <v>7</v>
      </c>
      <c r="I157" s="630">
        <v>10</v>
      </c>
      <c r="J157" s="235">
        <f>ROUND(((I157/H157-1)*100), 1)</f>
        <v>42.9</v>
      </c>
      <c r="K157" s="359">
        <f t="shared" si="230"/>
        <v>0</v>
      </c>
      <c r="L157" s="366">
        <f t="shared" si="230"/>
        <v>1</v>
      </c>
      <c r="M157" s="570">
        <v>0</v>
      </c>
      <c r="N157" s="589">
        <v>7</v>
      </c>
      <c r="O157" s="589">
        <v>11</v>
      </c>
      <c r="P157" s="235">
        <f>ROUND(((O157/N157-1)*100), 1)</f>
        <v>57.1</v>
      </c>
      <c r="Q157" s="359">
        <f t="shared" si="231"/>
        <v>0</v>
      </c>
      <c r="R157" s="366">
        <f t="shared" si="231"/>
        <v>0</v>
      </c>
      <c r="S157" s="579">
        <v>0</v>
      </c>
      <c r="T157" s="589">
        <v>7</v>
      </c>
      <c r="U157" s="589">
        <v>11</v>
      </c>
      <c r="V157" s="235">
        <f>ROUND(((U157/T157-1)*100), 1)</f>
        <v>57.1</v>
      </c>
      <c r="W157" s="587">
        <f t="shared" si="227"/>
        <v>0</v>
      </c>
      <c r="X157" s="589">
        <f t="shared" si="228"/>
        <v>5</v>
      </c>
      <c r="Y157" s="579">
        <v>0</v>
      </c>
      <c r="Z157" s="630">
        <v>7</v>
      </c>
      <c r="AA157" s="630">
        <v>16</v>
      </c>
      <c r="AB157" s="235">
        <f>ROUND(((AA157/Z157-1)*100), 1)</f>
        <v>128.6</v>
      </c>
      <c r="AC157" s="468">
        <f t="shared" ref="AC157:AD157" si="232">AF157-Z157</f>
        <v>0</v>
      </c>
      <c r="AD157" s="366">
        <f t="shared" si="232"/>
        <v>0</v>
      </c>
      <c r="AE157" s="579">
        <v>0</v>
      </c>
      <c r="AF157" s="589">
        <v>7</v>
      </c>
      <c r="AG157" s="589">
        <v>16</v>
      </c>
      <c r="AH157" s="235">
        <f>ROUND(((AG157/AF157-1)*100), 1)</f>
        <v>128.6</v>
      </c>
    </row>
    <row r="158" spans="1:34">
      <c r="A158" s="82"/>
      <c r="B158" s="39" t="s">
        <v>18</v>
      </c>
      <c r="C158" s="182">
        <f t="shared" ref="C158:I158" si="233">C159-SUM(C139:C157)</f>
        <v>1030</v>
      </c>
      <c r="D158" s="182">
        <f t="shared" si="233"/>
        <v>245</v>
      </c>
      <c r="E158" s="344">
        <f t="shared" si="233"/>
        <v>124</v>
      </c>
      <c r="F158" s="40">
        <f t="shared" si="233"/>
        <v>149</v>
      </c>
      <c r="G158" s="608">
        <f t="shared" si="233"/>
        <v>330</v>
      </c>
      <c r="H158" s="589">
        <f t="shared" si="233"/>
        <v>26</v>
      </c>
      <c r="I158" s="630">
        <f t="shared" si="233"/>
        <v>39</v>
      </c>
      <c r="J158" s="226">
        <f t="shared" ref="J158:J159" si="234">ROUND(((I158/H158-1)*100), 1)</f>
        <v>50</v>
      </c>
      <c r="K158" s="359">
        <f>K159-SUM(K139:K157)</f>
        <v>32</v>
      </c>
      <c r="L158" s="366">
        <f>L159-SUM(L139:L157)</f>
        <v>45</v>
      </c>
      <c r="M158" s="235">
        <f t="shared" ref="M158:M159" si="235">ROUND(((L158/K158-1)*100), 1)</f>
        <v>40.6</v>
      </c>
      <c r="N158" s="589">
        <f>N159-SUM(N139:N157)</f>
        <v>58</v>
      </c>
      <c r="O158" s="589">
        <f>O159-SUM(O139:O157)</f>
        <v>84</v>
      </c>
      <c r="P158" s="235">
        <f t="shared" ref="P158:P159" si="236">ROUND(((O158/N158-1)*100), 1)</f>
        <v>44.8</v>
      </c>
      <c r="Q158" s="359">
        <f>Q159-SUM(Q139:Q157)</f>
        <v>16</v>
      </c>
      <c r="R158" s="366">
        <f>R159-SUM(R139:R157)</f>
        <v>36</v>
      </c>
      <c r="S158" s="235">
        <f t="shared" ref="S158:S159" si="237">ROUND(((R158/Q158-1)*100), 1)</f>
        <v>125</v>
      </c>
      <c r="T158" s="589">
        <f>T159-SUM(T139:T157)</f>
        <v>74</v>
      </c>
      <c r="U158" s="589">
        <f>U159-SUM(U139:U157)</f>
        <v>120</v>
      </c>
      <c r="V158" s="235">
        <f t="shared" ref="V158:V159" si="238">ROUND(((U158/T158-1)*100), 1)</f>
        <v>62.2</v>
      </c>
      <c r="W158" s="468">
        <f>W159-SUM(W139:W157)</f>
        <v>19</v>
      </c>
      <c r="X158" s="366">
        <f>X159-SUM(X139:X157)</f>
        <v>44</v>
      </c>
      <c r="Y158" s="235">
        <f t="shared" ref="Y158:Y159" si="239">ROUND(((X158/W158-1)*100), 1)</f>
        <v>131.6</v>
      </c>
      <c r="Z158" s="630">
        <f>Z159-SUM(Z139:Z157)</f>
        <v>93</v>
      </c>
      <c r="AA158" s="630">
        <f>AA159-SUM(AA139:AA157)</f>
        <v>164</v>
      </c>
      <c r="AB158" s="235">
        <f t="shared" ref="AB158:AB159" si="240">ROUND(((AA158/Z158-1)*100), 1)</f>
        <v>76.3</v>
      </c>
      <c r="AC158" s="468">
        <f>AC159-SUM(AC139:AC157)</f>
        <v>26</v>
      </c>
      <c r="AD158" s="366">
        <f>AD159-SUM(AD139:AD157)</f>
        <v>18</v>
      </c>
      <c r="AE158" s="235">
        <f t="shared" ref="AE158:AE159" si="241">ROUND(((AD158/AC158-1)*100), 1)</f>
        <v>-30.8</v>
      </c>
      <c r="AF158" s="589">
        <f>AF159-SUM(AF139:AF157)</f>
        <v>119</v>
      </c>
      <c r="AG158" s="589">
        <f>AG159-SUM(AG139:AG157)</f>
        <v>182</v>
      </c>
      <c r="AH158" s="235">
        <f t="shared" ref="AH158:AH159" si="242">ROUND(((AG158/AF158-1)*100), 1)</f>
        <v>52.9</v>
      </c>
    </row>
    <row r="159" spans="1:34">
      <c r="A159" s="83"/>
      <c r="B159" s="63" t="s">
        <v>101</v>
      </c>
      <c r="C159" s="308">
        <v>71366</v>
      </c>
      <c r="D159" s="308">
        <v>80702</v>
      </c>
      <c r="E159" s="352">
        <v>82947</v>
      </c>
      <c r="F159" s="42">
        <v>73853</v>
      </c>
      <c r="G159" s="609">
        <v>72070</v>
      </c>
      <c r="H159" s="582">
        <v>5665</v>
      </c>
      <c r="I159" s="632">
        <v>6054</v>
      </c>
      <c r="J159" s="227">
        <f t="shared" si="234"/>
        <v>6.9</v>
      </c>
      <c r="K159" s="376">
        <f t="shared" ref="K159" si="243">N159-H159</f>
        <v>5811</v>
      </c>
      <c r="L159" s="280">
        <f t="shared" ref="L159" si="244">O159-I159</f>
        <v>5698</v>
      </c>
      <c r="M159" s="236">
        <f t="shared" si="235"/>
        <v>-1.9</v>
      </c>
      <c r="N159" s="582">
        <v>11476</v>
      </c>
      <c r="O159" s="582">
        <v>11752</v>
      </c>
      <c r="P159" s="236">
        <f t="shared" si="236"/>
        <v>2.4</v>
      </c>
      <c r="Q159" s="376">
        <f t="shared" ref="Q159" si="245">T159-N159</f>
        <v>7631</v>
      </c>
      <c r="R159" s="280">
        <f t="shared" ref="R159" si="246">U159-O159</f>
        <v>7311</v>
      </c>
      <c r="S159" s="236">
        <f t="shared" si="237"/>
        <v>-4.2</v>
      </c>
      <c r="T159" s="582">
        <v>19107</v>
      </c>
      <c r="U159" s="582">
        <v>19063</v>
      </c>
      <c r="V159" s="236">
        <f t="shared" si="238"/>
        <v>-0.2</v>
      </c>
      <c r="W159" s="376">
        <f t="shared" ref="W159" si="247">Z159-T159</f>
        <v>5935</v>
      </c>
      <c r="X159" s="280">
        <f t="shared" ref="X159" si="248">AA159-U159</f>
        <v>6615</v>
      </c>
      <c r="Y159" s="236">
        <f t="shared" si="239"/>
        <v>11.5</v>
      </c>
      <c r="Z159" s="632">
        <v>25042</v>
      </c>
      <c r="AA159" s="632">
        <v>25678</v>
      </c>
      <c r="AB159" s="236">
        <f t="shared" si="240"/>
        <v>2.5</v>
      </c>
      <c r="AC159" s="376">
        <f t="shared" ref="AC159:AD159" si="249">AF159-Z159</f>
        <v>5214</v>
      </c>
      <c r="AD159" s="280">
        <f t="shared" si="249"/>
        <v>6600</v>
      </c>
      <c r="AE159" s="236">
        <f t="shared" si="241"/>
        <v>26.6</v>
      </c>
      <c r="AF159" s="582">
        <v>30256</v>
      </c>
      <c r="AG159" s="582">
        <v>32278</v>
      </c>
      <c r="AH159" s="236">
        <f t="shared" si="242"/>
        <v>6.7</v>
      </c>
    </row>
    <row r="160" spans="1:34">
      <c r="A160" s="84"/>
      <c r="B160" s="81" t="s">
        <v>47</v>
      </c>
      <c r="C160" s="183">
        <v>6874</v>
      </c>
      <c r="D160" s="183">
        <v>6547</v>
      </c>
      <c r="E160" s="357">
        <v>5209</v>
      </c>
      <c r="F160" s="62">
        <v>4943</v>
      </c>
      <c r="G160" s="62">
        <v>3854</v>
      </c>
      <c r="H160" s="584">
        <v>281</v>
      </c>
      <c r="I160" s="634">
        <v>309</v>
      </c>
      <c r="J160" s="226">
        <f t="shared" ref="J160:J169" si="250">ROUND(((I160/H160-1)*100), 1)</f>
        <v>10</v>
      </c>
      <c r="K160" s="360">
        <f t="shared" ref="K160:K175" si="251">N160-H160</f>
        <v>376</v>
      </c>
      <c r="L160" s="365">
        <f t="shared" ref="L160:L175" si="252">O160-I160</f>
        <v>309</v>
      </c>
      <c r="M160" s="235">
        <f t="shared" ref="M160:M170" si="253">ROUND(((L160/K160-1)*100), 1)</f>
        <v>-17.8</v>
      </c>
      <c r="N160" s="584">
        <v>657</v>
      </c>
      <c r="O160" s="584">
        <v>618</v>
      </c>
      <c r="P160" s="235">
        <f t="shared" ref="P160:P170" si="254">ROUND(((O160/N160-1)*100), 1)</f>
        <v>-5.9</v>
      </c>
      <c r="Q160" s="360">
        <f t="shared" ref="Q160:Q175" si="255">T160-N160</f>
        <v>408</v>
      </c>
      <c r="R160" s="365">
        <f t="shared" ref="R160:R175" si="256">U160-O160</f>
        <v>406</v>
      </c>
      <c r="S160" s="235">
        <f t="shared" ref="S160:S168" si="257">ROUND(((R160/Q160-1)*100), 1)</f>
        <v>-0.5</v>
      </c>
      <c r="T160" s="709">
        <v>1065</v>
      </c>
      <c r="U160" s="584">
        <v>1024</v>
      </c>
      <c r="V160" s="235">
        <f t="shared" ref="V160:V170" si="258">ROUND(((U160/T160-1)*100), 1)</f>
        <v>-3.8</v>
      </c>
      <c r="W160" s="469">
        <f t="shared" ref="W160:W175" si="259">Z160-T160</f>
        <v>370</v>
      </c>
      <c r="X160" s="365">
        <f t="shared" ref="X160:X175" si="260">AA160-U160</f>
        <v>401</v>
      </c>
      <c r="Y160" s="235">
        <f t="shared" ref="Y160:Y165" si="261">ROUND(((X160/W160-1)*100), 1)</f>
        <v>8.4</v>
      </c>
      <c r="Z160" s="718">
        <v>1435</v>
      </c>
      <c r="AA160" s="634">
        <v>1425</v>
      </c>
      <c r="AB160" s="235">
        <f t="shared" ref="AB160:AB170" si="262">ROUND(((AA160/Z160-1)*100), 1)</f>
        <v>-0.7</v>
      </c>
      <c r="AC160" s="469">
        <f t="shared" ref="AC160:AC175" si="263">AF160-Z160</f>
        <v>233</v>
      </c>
      <c r="AD160" s="365">
        <f t="shared" ref="AD160:AD175" si="264">AG160-AA160</f>
        <v>259</v>
      </c>
      <c r="AE160" s="235">
        <f t="shared" ref="AE160:AE165" si="265">ROUND(((AD160/AC160-1)*100), 1)</f>
        <v>11.2</v>
      </c>
      <c r="AF160" s="709">
        <v>1668</v>
      </c>
      <c r="AG160" s="584">
        <v>1684</v>
      </c>
      <c r="AH160" s="235">
        <f t="shared" ref="AH160:AH170" si="266">ROUND(((AG160/AF160-1)*100), 1)</f>
        <v>1</v>
      </c>
    </row>
    <row r="161" spans="1:34">
      <c r="A161" s="82" t="s">
        <v>103</v>
      </c>
      <c r="B161" s="39" t="s">
        <v>391</v>
      </c>
      <c r="C161" s="182">
        <v>469</v>
      </c>
      <c r="D161" s="182">
        <v>2934</v>
      </c>
      <c r="E161" s="344">
        <v>2245</v>
      </c>
      <c r="F161" s="40">
        <v>3914</v>
      </c>
      <c r="G161" s="608">
        <v>3667</v>
      </c>
      <c r="H161" s="589">
        <v>330</v>
      </c>
      <c r="I161" s="630">
        <v>274</v>
      </c>
      <c r="J161" s="226">
        <f t="shared" si="250"/>
        <v>-17</v>
      </c>
      <c r="K161" s="359">
        <f t="shared" si="251"/>
        <v>196</v>
      </c>
      <c r="L161" s="366">
        <f t="shared" si="252"/>
        <v>0</v>
      </c>
      <c r="M161" s="235">
        <f t="shared" si="253"/>
        <v>-100</v>
      </c>
      <c r="N161" s="589">
        <v>526</v>
      </c>
      <c r="O161" s="589">
        <v>274</v>
      </c>
      <c r="P161" s="235">
        <f t="shared" si="254"/>
        <v>-47.9</v>
      </c>
      <c r="Q161" s="359">
        <f t="shared" si="255"/>
        <v>279</v>
      </c>
      <c r="R161" s="366">
        <f t="shared" si="256"/>
        <v>251</v>
      </c>
      <c r="S161" s="235">
        <f t="shared" si="257"/>
        <v>-10</v>
      </c>
      <c r="T161" s="710">
        <v>805</v>
      </c>
      <c r="U161" s="589">
        <v>525</v>
      </c>
      <c r="V161" s="235">
        <f t="shared" si="258"/>
        <v>-34.799999999999997</v>
      </c>
      <c r="W161" s="468">
        <f t="shared" si="259"/>
        <v>129</v>
      </c>
      <c r="X161" s="366">
        <f t="shared" si="260"/>
        <v>359</v>
      </c>
      <c r="Y161" s="235">
        <f t="shared" si="261"/>
        <v>178.3</v>
      </c>
      <c r="Z161" s="719">
        <v>934</v>
      </c>
      <c r="AA161" s="630">
        <v>884</v>
      </c>
      <c r="AB161" s="235">
        <f t="shared" si="262"/>
        <v>-5.4</v>
      </c>
      <c r="AC161" s="468">
        <f t="shared" si="263"/>
        <v>233</v>
      </c>
      <c r="AD161" s="366">
        <f t="shared" si="264"/>
        <v>586</v>
      </c>
      <c r="AE161" s="235">
        <f t="shared" si="265"/>
        <v>151.5</v>
      </c>
      <c r="AF161" s="710">
        <v>1167</v>
      </c>
      <c r="AG161" s="589">
        <v>1470</v>
      </c>
      <c r="AH161" s="235">
        <f t="shared" si="266"/>
        <v>26</v>
      </c>
    </row>
    <row r="162" spans="1:34">
      <c r="A162" s="82"/>
      <c r="B162" s="39" t="s">
        <v>392</v>
      </c>
      <c r="C162" s="182">
        <v>1714</v>
      </c>
      <c r="D162" s="182">
        <v>1530</v>
      </c>
      <c r="E162" s="344">
        <v>1432</v>
      </c>
      <c r="F162" s="40">
        <v>732</v>
      </c>
      <c r="G162" s="608">
        <v>2959</v>
      </c>
      <c r="H162" s="589">
        <v>102</v>
      </c>
      <c r="I162" s="630">
        <v>260</v>
      </c>
      <c r="J162" s="226">
        <f t="shared" si="250"/>
        <v>154.9</v>
      </c>
      <c r="K162" s="359">
        <f t="shared" si="251"/>
        <v>103</v>
      </c>
      <c r="L162" s="366">
        <f t="shared" si="252"/>
        <v>107</v>
      </c>
      <c r="M162" s="235">
        <f t="shared" si="253"/>
        <v>3.9</v>
      </c>
      <c r="N162" s="589">
        <v>205</v>
      </c>
      <c r="O162" s="589">
        <v>367</v>
      </c>
      <c r="P162" s="235">
        <f t="shared" si="254"/>
        <v>79</v>
      </c>
      <c r="Q162" s="359">
        <f t="shared" si="255"/>
        <v>202</v>
      </c>
      <c r="R162" s="366">
        <f t="shared" si="256"/>
        <v>161</v>
      </c>
      <c r="S162" s="235">
        <f t="shared" si="257"/>
        <v>-20.3</v>
      </c>
      <c r="T162" s="710">
        <v>407</v>
      </c>
      <c r="U162" s="589">
        <v>528</v>
      </c>
      <c r="V162" s="235">
        <f t="shared" si="258"/>
        <v>29.7</v>
      </c>
      <c r="W162" s="468">
        <f t="shared" si="259"/>
        <v>222</v>
      </c>
      <c r="X162" s="366">
        <f t="shared" si="260"/>
        <v>113</v>
      </c>
      <c r="Y162" s="235">
        <f t="shared" si="261"/>
        <v>-49.1</v>
      </c>
      <c r="Z162" s="719">
        <v>629</v>
      </c>
      <c r="AA162" s="630">
        <v>641</v>
      </c>
      <c r="AB162" s="235">
        <f t="shared" si="262"/>
        <v>1.9</v>
      </c>
      <c r="AC162" s="468">
        <f t="shared" si="263"/>
        <v>45</v>
      </c>
      <c r="AD162" s="366">
        <f t="shared" si="264"/>
        <v>318</v>
      </c>
      <c r="AE162" s="235">
        <f t="shared" si="265"/>
        <v>606.70000000000005</v>
      </c>
      <c r="AF162" s="710">
        <v>674</v>
      </c>
      <c r="AG162" s="589">
        <v>959</v>
      </c>
      <c r="AH162" s="235">
        <f t="shared" si="266"/>
        <v>42.3</v>
      </c>
    </row>
    <row r="163" spans="1:34">
      <c r="A163" s="82"/>
      <c r="B163" s="39" t="s">
        <v>43</v>
      </c>
      <c r="C163" s="182">
        <v>2837</v>
      </c>
      <c r="D163" s="182">
        <v>1089</v>
      </c>
      <c r="E163" s="344">
        <v>493</v>
      </c>
      <c r="F163" s="40">
        <v>662</v>
      </c>
      <c r="G163" s="608">
        <v>1012</v>
      </c>
      <c r="H163" s="589">
        <v>75</v>
      </c>
      <c r="I163" s="630">
        <v>99</v>
      </c>
      <c r="J163" s="226">
        <f t="shared" si="250"/>
        <v>32</v>
      </c>
      <c r="K163" s="359">
        <f t="shared" si="251"/>
        <v>28</v>
      </c>
      <c r="L163" s="366">
        <f t="shared" si="252"/>
        <v>193</v>
      </c>
      <c r="M163" s="235">
        <f t="shared" si="253"/>
        <v>589.29999999999995</v>
      </c>
      <c r="N163" s="589">
        <v>103</v>
      </c>
      <c r="O163" s="589">
        <v>292</v>
      </c>
      <c r="P163" s="235">
        <f t="shared" si="254"/>
        <v>183.5</v>
      </c>
      <c r="Q163" s="359">
        <f t="shared" si="255"/>
        <v>51</v>
      </c>
      <c r="R163" s="366">
        <f t="shared" si="256"/>
        <v>147</v>
      </c>
      <c r="S163" s="235">
        <f t="shared" si="257"/>
        <v>188.2</v>
      </c>
      <c r="T163" s="710">
        <v>154</v>
      </c>
      <c r="U163" s="589">
        <v>439</v>
      </c>
      <c r="V163" s="235">
        <f t="shared" si="258"/>
        <v>185.1</v>
      </c>
      <c r="W163" s="468">
        <f t="shared" si="259"/>
        <v>34</v>
      </c>
      <c r="X163" s="366">
        <f t="shared" si="260"/>
        <v>101</v>
      </c>
      <c r="Y163" s="235">
        <f t="shared" si="261"/>
        <v>197.1</v>
      </c>
      <c r="Z163" s="719">
        <v>188</v>
      </c>
      <c r="AA163" s="630">
        <v>540</v>
      </c>
      <c r="AB163" s="235">
        <f t="shared" si="262"/>
        <v>187.2</v>
      </c>
      <c r="AC163" s="468">
        <f t="shared" si="263"/>
        <v>222</v>
      </c>
      <c r="AD163" s="366">
        <f t="shared" si="264"/>
        <v>102</v>
      </c>
      <c r="AE163" s="235">
        <f t="shared" si="265"/>
        <v>-54.1</v>
      </c>
      <c r="AF163" s="710">
        <v>410</v>
      </c>
      <c r="AG163" s="589">
        <v>642</v>
      </c>
      <c r="AH163" s="235">
        <f t="shared" si="266"/>
        <v>56.6</v>
      </c>
    </row>
    <row r="164" spans="1:34">
      <c r="A164" s="82"/>
      <c r="B164" s="39" t="s">
        <v>61</v>
      </c>
      <c r="C164" s="182">
        <v>648</v>
      </c>
      <c r="D164" s="182">
        <v>756</v>
      </c>
      <c r="E164" s="344">
        <v>1057</v>
      </c>
      <c r="F164" s="40">
        <v>905</v>
      </c>
      <c r="G164" s="608">
        <v>734</v>
      </c>
      <c r="H164" s="589">
        <v>61</v>
      </c>
      <c r="I164" s="630">
        <v>75</v>
      </c>
      <c r="J164" s="226">
        <f t="shared" si="250"/>
        <v>23</v>
      </c>
      <c r="K164" s="359">
        <f t="shared" si="251"/>
        <v>58</v>
      </c>
      <c r="L164" s="366">
        <f t="shared" si="252"/>
        <v>72</v>
      </c>
      <c r="M164" s="235">
        <f t="shared" si="253"/>
        <v>24.1</v>
      </c>
      <c r="N164" s="589">
        <v>119</v>
      </c>
      <c r="O164" s="589">
        <v>147</v>
      </c>
      <c r="P164" s="235">
        <f t="shared" si="254"/>
        <v>23.5</v>
      </c>
      <c r="Q164" s="359">
        <f t="shared" si="255"/>
        <v>55</v>
      </c>
      <c r="R164" s="366">
        <f t="shared" si="256"/>
        <v>100</v>
      </c>
      <c r="S164" s="235">
        <f t="shared" si="257"/>
        <v>81.8</v>
      </c>
      <c r="T164" s="710">
        <v>174</v>
      </c>
      <c r="U164" s="589">
        <v>247</v>
      </c>
      <c r="V164" s="235">
        <f t="shared" si="258"/>
        <v>42</v>
      </c>
      <c r="W164" s="468">
        <f t="shared" si="259"/>
        <v>38</v>
      </c>
      <c r="X164" s="366">
        <f t="shared" si="260"/>
        <v>87</v>
      </c>
      <c r="Y164" s="235">
        <f t="shared" si="261"/>
        <v>128.9</v>
      </c>
      <c r="Z164" s="719">
        <v>212</v>
      </c>
      <c r="AA164" s="630">
        <v>334</v>
      </c>
      <c r="AB164" s="235">
        <f t="shared" si="262"/>
        <v>57.5</v>
      </c>
      <c r="AC164" s="468">
        <f t="shared" si="263"/>
        <v>80</v>
      </c>
      <c r="AD164" s="366">
        <f t="shared" si="264"/>
        <v>133</v>
      </c>
      <c r="AE164" s="235">
        <f t="shared" si="265"/>
        <v>66.3</v>
      </c>
      <c r="AF164" s="710">
        <v>292</v>
      </c>
      <c r="AG164" s="589">
        <v>467</v>
      </c>
      <c r="AH164" s="235">
        <f t="shared" si="266"/>
        <v>59.9</v>
      </c>
    </row>
    <row r="165" spans="1:34">
      <c r="A165" s="82"/>
      <c r="B165" s="39" t="s">
        <v>50</v>
      </c>
      <c r="C165" s="182">
        <v>1065</v>
      </c>
      <c r="D165" s="182">
        <v>1080</v>
      </c>
      <c r="E165" s="344">
        <v>1110</v>
      </c>
      <c r="F165" s="40">
        <v>169</v>
      </c>
      <c r="G165" s="608">
        <v>313</v>
      </c>
      <c r="H165" s="589">
        <v>15</v>
      </c>
      <c r="I165" s="630">
        <v>27</v>
      </c>
      <c r="J165" s="226">
        <f t="shared" si="250"/>
        <v>80</v>
      </c>
      <c r="K165" s="359">
        <f t="shared" si="251"/>
        <v>17</v>
      </c>
      <c r="L165" s="366">
        <f t="shared" si="252"/>
        <v>10</v>
      </c>
      <c r="M165" s="235">
        <f t="shared" si="253"/>
        <v>-41.2</v>
      </c>
      <c r="N165" s="589">
        <v>32</v>
      </c>
      <c r="O165" s="589">
        <v>37</v>
      </c>
      <c r="P165" s="235">
        <f t="shared" si="254"/>
        <v>15.6</v>
      </c>
      <c r="Q165" s="359">
        <f t="shared" si="255"/>
        <v>23</v>
      </c>
      <c r="R165" s="366">
        <f t="shared" si="256"/>
        <v>35</v>
      </c>
      <c r="S165" s="571">
        <f t="shared" si="257"/>
        <v>52.2</v>
      </c>
      <c r="T165" s="710">
        <v>55</v>
      </c>
      <c r="U165" s="589">
        <v>72</v>
      </c>
      <c r="V165" s="235">
        <f t="shared" si="258"/>
        <v>30.9</v>
      </c>
      <c r="W165" s="468">
        <f t="shared" si="259"/>
        <v>28</v>
      </c>
      <c r="X165" s="366">
        <f t="shared" si="260"/>
        <v>49</v>
      </c>
      <c r="Y165" s="235">
        <f t="shared" si="261"/>
        <v>75</v>
      </c>
      <c r="Z165" s="719">
        <v>83</v>
      </c>
      <c r="AA165" s="630">
        <v>121</v>
      </c>
      <c r="AB165" s="235">
        <f t="shared" si="262"/>
        <v>45.8</v>
      </c>
      <c r="AC165" s="468">
        <f t="shared" si="263"/>
        <v>19</v>
      </c>
      <c r="AD165" s="366">
        <f t="shared" si="264"/>
        <v>26</v>
      </c>
      <c r="AE165" s="235">
        <f t="shared" si="265"/>
        <v>36.799999999999997</v>
      </c>
      <c r="AF165" s="710">
        <v>102</v>
      </c>
      <c r="AG165" s="589">
        <v>147</v>
      </c>
      <c r="AH165" s="235">
        <f t="shared" si="266"/>
        <v>44.1</v>
      </c>
    </row>
    <row r="166" spans="1:34">
      <c r="A166" s="82"/>
      <c r="B166" s="39" t="s">
        <v>394</v>
      </c>
      <c r="C166" s="182">
        <v>9</v>
      </c>
      <c r="D166" s="182">
        <v>89</v>
      </c>
      <c r="E166" s="344">
        <v>32</v>
      </c>
      <c r="F166" s="40">
        <v>104</v>
      </c>
      <c r="G166" s="608">
        <v>176</v>
      </c>
      <c r="H166" s="589">
        <v>0</v>
      </c>
      <c r="I166" s="630">
        <v>0</v>
      </c>
      <c r="J166" s="579">
        <v>0</v>
      </c>
      <c r="K166" s="359">
        <f t="shared" si="251"/>
        <v>0</v>
      </c>
      <c r="L166" s="366">
        <f t="shared" si="252"/>
        <v>1</v>
      </c>
      <c r="M166" s="570">
        <v>0</v>
      </c>
      <c r="N166" s="589">
        <v>0</v>
      </c>
      <c r="O166" s="589">
        <v>1</v>
      </c>
      <c r="P166" s="579">
        <v>0</v>
      </c>
      <c r="Q166" s="359">
        <f t="shared" si="255"/>
        <v>50</v>
      </c>
      <c r="R166" s="366">
        <f t="shared" si="256"/>
        <v>0</v>
      </c>
      <c r="S166" s="571">
        <f t="shared" si="257"/>
        <v>-100</v>
      </c>
      <c r="T166" s="710">
        <v>50</v>
      </c>
      <c r="U166" s="589">
        <v>1</v>
      </c>
      <c r="V166" s="235">
        <f t="shared" si="258"/>
        <v>-98</v>
      </c>
      <c r="W166" s="468">
        <f t="shared" si="259"/>
        <v>0</v>
      </c>
      <c r="X166" s="366">
        <f t="shared" si="260"/>
        <v>0</v>
      </c>
      <c r="Y166" s="462">
        <v>0</v>
      </c>
      <c r="Z166" s="719">
        <v>50</v>
      </c>
      <c r="AA166" s="630">
        <v>1</v>
      </c>
      <c r="AB166" s="235">
        <f t="shared" si="262"/>
        <v>-98</v>
      </c>
      <c r="AC166" s="468">
        <f t="shared" si="263"/>
        <v>0</v>
      </c>
      <c r="AD166" s="366">
        <f t="shared" si="264"/>
        <v>0</v>
      </c>
      <c r="AE166" s="462">
        <v>0</v>
      </c>
      <c r="AF166" s="710">
        <v>50</v>
      </c>
      <c r="AG166" s="589">
        <v>1</v>
      </c>
      <c r="AH166" s="235">
        <f t="shared" si="266"/>
        <v>-98</v>
      </c>
    </row>
    <row r="167" spans="1:34">
      <c r="A167" s="82"/>
      <c r="B167" s="39" t="s">
        <v>46</v>
      </c>
      <c r="C167" s="182">
        <v>4729</v>
      </c>
      <c r="D167" s="182">
        <v>3098</v>
      </c>
      <c r="E167" s="344">
        <v>3066</v>
      </c>
      <c r="F167" s="40">
        <v>537</v>
      </c>
      <c r="G167" s="608">
        <v>115</v>
      </c>
      <c r="H167" s="589">
        <v>13</v>
      </c>
      <c r="I167" s="630">
        <v>7</v>
      </c>
      <c r="J167" s="571">
        <f t="shared" si="250"/>
        <v>-46.2</v>
      </c>
      <c r="K167" s="359">
        <f t="shared" si="251"/>
        <v>6</v>
      </c>
      <c r="L167" s="366">
        <f t="shared" si="252"/>
        <v>8</v>
      </c>
      <c r="M167" s="235">
        <f t="shared" si="253"/>
        <v>33.299999999999997</v>
      </c>
      <c r="N167" s="589">
        <v>19</v>
      </c>
      <c r="O167" s="589">
        <v>15</v>
      </c>
      <c r="P167" s="235">
        <f t="shared" si="254"/>
        <v>-21.1</v>
      </c>
      <c r="Q167" s="359">
        <f t="shared" si="255"/>
        <v>10</v>
      </c>
      <c r="R167" s="366">
        <f t="shared" si="256"/>
        <v>11</v>
      </c>
      <c r="S167" s="571">
        <f t="shared" si="257"/>
        <v>10</v>
      </c>
      <c r="T167" s="710">
        <v>29</v>
      </c>
      <c r="U167" s="589">
        <v>26</v>
      </c>
      <c r="V167" s="571">
        <f t="shared" si="258"/>
        <v>-10.3</v>
      </c>
      <c r="W167" s="468">
        <f t="shared" si="259"/>
        <v>9</v>
      </c>
      <c r="X167" s="366">
        <f t="shared" si="260"/>
        <v>8</v>
      </c>
      <c r="Y167" s="235">
        <f>ROUND(((X167/W167-1)*100), 1)</f>
        <v>-11.1</v>
      </c>
      <c r="Z167" s="719">
        <v>38</v>
      </c>
      <c r="AA167" s="630">
        <v>34</v>
      </c>
      <c r="AB167" s="235">
        <f t="shared" si="262"/>
        <v>-10.5</v>
      </c>
      <c r="AC167" s="468">
        <f t="shared" si="263"/>
        <v>12</v>
      </c>
      <c r="AD167" s="366">
        <f t="shared" si="264"/>
        <v>9</v>
      </c>
      <c r="AE167" s="235">
        <f>ROUND(((AD167/AC167-1)*100), 1)</f>
        <v>-25</v>
      </c>
      <c r="AF167" s="710">
        <v>50</v>
      </c>
      <c r="AG167" s="589">
        <v>43</v>
      </c>
      <c r="AH167" s="235">
        <f t="shared" si="266"/>
        <v>-14</v>
      </c>
    </row>
    <row r="168" spans="1:34">
      <c r="A168" s="82"/>
      <c r="B168" s="39" t="s">
        <v>393</v>
      </c>
      <c r="C168" s="182">
        <v>321</v>
      </c>
      <c r="D168" s="182">
        <v>544</v>
      </c>
      <c r="E168" s="344">
        <v>526</v>
      </c>
      <c r="F168" s="40">
        <v>525</v>
      </c>
      <c r="G168" s="608">
        <v>45</v>
      </c>
      <c r="H168" s="589">
        <v>5</v>
      </c>
      <c r="I168" s="630">
        <v>3</v>
      </c>
      <c r="J168" s="571">
        <f t="shared" si="250"/>
        <v>-40</v>
      </c>
      <c r="K168" s="359">
        <f t="shared" si="251"/>
        <v>0</v>
      </c>
      <c r="L168" s="366">
        <f t="shared" si="252"/>
        <v>0</v>
      </c>
      <c r="M168" s="570">
        <v>0</v>
      </c>
      <c r="N168" s="589">
        <v>5</v>
      </c>
      <c r="O168" s="589">
        <v>3</v>
      </c>
      <c r="P168" s="235">
        <f t="shared" si="254"/>
        <v>-40</v>
      </c>
      <c r="Q168" s="359">
        <f t="shared" si="255"/>
        <v>8</v>
      </c>
      <c r="R168" s="366">
        <f t="shared" si="256"/>
        <v>33</v>
      </c>
      <c r="S168" s="571">
        <f t="shared" si="257"/>
        <v>312.5</v>
      </c>
      <c r="T168" s="710">
        <v>13</v>
      </c>
      <c r="U168" s="589">
        <v>36</v>
      </c>
      <c r="V168" s="571">
        <f t="shared" si="258"/>
        <v>176.9</v>
      </c>
      <c r="W168" s="468">
        <f t="shared" si="259"/>
        <v>0</v>
      </c>
      <c r="X168" s="366">
        <f t="shared" si="260"/>
        <v>0</v>
      </c>
      <c r="Y168" s="462">
        <v>0</v>
      </c>
      <c r="Z168" s="719">
        <v>13</v>
      </c>
      <c r="AA168" s="630">
        <v>36</v>
      </c>
      <c r="AB168" s="235">
        <f t="shared" si="262"/>
        <v>176.9</v>
      </c>
      <c r="AC168" s="468">
        <f t="shared" si="263"/>
        <v>1</v>
      </c>
      <c r="AD168" s="366">
        <f t="shared" si="264"/>
        <v>8</v>
      </c>
      <c r="AE168" s="571">
        <f>ROUND(((AD168/AC168-1)*100), 1)</f>
        <v>700</v>
      </c>
      <c r="AF168" s="710">
        <v>14</v>
      </c>
      <c r="AG168" s="589">
        <v>44</v>
      </c>
      <c r="AH168" s="235">
        <f t="shared" si="266"/>
        <v>214.3</v>
      </c>
    </row>
    <row r="169" spans="1:34">
      <c r="A169" s="82"/>
      <c r="B169" s="39" t="s">
        <v>53</v>
      </c>
      <c r="C169" s="182">
        <v>23</v>
      </c>
      <c r="D169" s="182">
        <v>8</v>
      </c>
      <c r="E169" s="344">
        <v>67</v>
      </c>
      <c r="F169" s="40">
        <v>18</v>
      </c>
      <c r="G169" s="608">
        <v>42</v>
      </c>
      <c r="H169" s="589">
        <v>2</v>
      </c>
      <c r="I169" s="630">
        <v>0</v>
      </c>
      <c r="J169" s="571">
        <f t="shared" si="250"/>
        <v>-100</v>
      </c>
      <c r="K169" s="359">
        <f t="shared" si="251"/>
        <v>7</v>
      </c>
      <c r="L169" s="366">
        <f t="shared" si="252"/>
        <v>0</v>
      </c>
      <c r="M169" s="235">
        <f t="shared" si="253"/>
        <v>-100</v>
      </c>
      <c r="N169" s="589">
        <v>9</v>
      </c>
      <c r="O169" s="589">
        <v>0</v>
      </c>
      <c r="P169" s="235">
        <f t="shared" si="254"/>
        <v>-100</v>
      </c>
      <c r="Q169" s="359">
        <f t="shared" si="255"/>
        <v>0</v>
      </c>
      <c r="R169" s="366">
        <f t="shared" si="256"/>
        <v>0</v>
      </c>
      <c r="S169" s="171">
        <v>0</v>
      </c>
      <c r="T169" s="710">
        <v>9</v>
      </c>
      <c r="U169" s="589">
        <v>0</v>
      </c>
      <c r="V169" s="571">
        <f t="shared" si="258"/>
        <v>-100</v>
      </c>
      <c r="W169" s="468">
        <f t="shared" si="259"/>
        <v>0</v>
      </c>
      <c r="X169" s="366">
        <f t="shared" si="260"/>
        <v>0</v>
      </c>
      <c r="Y169" s="462">
        <v>0</v>
      </c>
      <c r="Z169" s="719">
        <v>9</v>
      </c>
      <c r="AA169" s="630">
        <v>0</v>
      </c>
      <c r="AB169" s="235">
        <f t="shared" si="262"/>
        <v>-100</v>
      </c>
      <c r="AC169" s="468">
        <f t="shared" si="263"/>
        <v>6</v>
      </c>
      <c r="AD169" s="366">
        <f t="shared" si="264"/>
        <v>0</v>
      </c>
      <c r="AE169" s="235">
        <f>ROUND(((AD169/AC169-1)*100), 1)</f>
        <v>-100</v>
      </c>
      <c r="AF169" s="710">
        <v>15</v>
      </c>
      <c r="AG169" s="589">
        <v>0</v>
      </c>
      <c r="AH169" s="235">
        <f t="shared" si="266"/>
        <v>-100</v>
      </c>
    </row>
    <row r="170" spans="1:34">
      <c r="A170" s="82"/>
      <c r="B170" s="39" t="s">
        <v>69</v>
      </c>
      <c r="C170" s="182">
        <v>22</v>
      </c>
      <c r="D170" s="182">
        <v>18</v>
      </c>
      <c r="E170" s="344">
        <v>19</v>
      </c>
      <c r="F170" s="40">
        <v>12</v>
      </c>
      <c r="G170" s="608">
        <v>12</v>
      </c>
      <c r="H170" s="589">
        <v>0</v>
      </c>
      <c r="I170" s="630">
        <v>3</v>
      </c>
      <c r="J170" s="579">
        <v>0</v>
      </c>
      <c r="K170" s="359">
        <f t="shared" si="251"/>
        <v>3</v>
      </c>
      <c r="L170" s="366">
        <f t="shared" si="252"/>
        <v>0</v>
      </c>
      <c r="M170" s="571">
        <f t="shared" si="253"/>
        <v>-100</v>
      </c>
      <c r="N170" s="589">
        <v>3</v>
      </c>
      <c r="O170" s="589">
        <v>3</v>
      </c>
      <c r="P170" s="235">
        <f t="shared" si="254"/>
        <v>0</v>
      </c>
      <c r="Q170" s="359">
        <f t="shared" si="255"/>
        <v>0</v>
      </c>
      <c r="R170" s="366">
        <f t="shared" si="256"/>
        <v>0</v>
      </c>
      <c r="S170" s="171">
        <v>0</v>
      </c>
      <c r="T170" s="710">
        <v>3</v>
      </c>
      <c r="U170" s="589">
        <v>3</v>
      </c>
      <c r="V170" s="571">
        <f t="shared" si="258"/>
        <v>0</v>
      </c>
      <c r="W170" s="468">
        <f t="shared" si="259"/>
        <v>0</v>
      </c>
      <c r="X170" s="366">
        <f t="shared" si="260"/>
        <v>3</v>
      </c>
      <c r="Y170" s="579">
        <v>0</v>
      </c>
      <c r="Z170" s="719">
        <v>3</v>
      </c>
      <c r="AA170" s="630">
        <v>6</v>
      </c>
      <c r="AB170" s="235">
        <f t="shared" si="262"/>
        <v>100</v>
      </c>
      <c r="AC170" s="468">
        <f t="shared" si="263"/>
        <v>3</v>
      </c>
      <c r="AD170" s="366">
        <f t="shared" si="264"/>
        <v>1</v>
      </c>
      <c r="AE170" s="571">
        <f>ROUND(((AD170/AC170-1)*100), 1)</f>
        <v>-66.7</v>
      </c>
      <c r="AF170" s="710">
        <v>6</v>
      </c>
      <c r="AG170" s="589">
        <v>7</v>
      </c>
      <c r="AH170" s="235">
        <f t="shared" si="266"/>
        <v>16.7</v>
      </c>
    </row>
    <row r="171" spans="1:34">
      <c r="A171" s="82"/>
      <c r="B171" s="39" t="s">
        <v>395</v>
      </c>
      <c r="C171" s="182">
        <v>9</v>
      </c>
      <c r="D171" s="182">
        <v>19</v>
      </c>
      <c r="E171" s="344">
        <v>7</v>
      </c>
      <c r="F171" s="40">
        <v>12</v>
      </c>
      <c r="G171" s="608">
        <v>4</v>
      </c>
      <c r="H171" s="589">
        <v>0</v>
      </c>
      <c r="I171" s="630">
        <v>0</v>
      </c>
      <c r="J171" s="579">
        <v>0</v>
      </c>
      <c r="K171" s="359">
        <f t="shared" si="251"/>
        <v>0</v>
      </c>
      <c r="L171" s="366">
        <f t="shared" si="252"/>
        <v>0</v>
      </c>
      <c r="M171" s="570">
        <v>0</v>
      </c>
      <c r="N171" s="589">
        <v>0</v>
      </c>
      <c r="O171" s="589">
        <v>0</v>
      </c>
      <c r="P171" s="579">
        <v>0</v>
      </c>
      <c r="Q171" s="359">
        <f t="shared" si="255"/>
        <v>0</v>
      </c>
      <c r="R171" s="366">
        <f t="shared" si="256"/>
        <v>0</v>
      </c>
      <c r="S171" s="171">
        <v>0</v>
      </c>
      <c r="T171" s="710">
        <v>0</v>
      </c>
      <c r="U171" s="589">
        <v>0</v>
      </c>
      <c r="V171" s="579">
        <v>0</v>
      </c>
      <c r="W171" s="468">
        <f t="shared" si="259"/>
        <v>0</v>
      </c>
      <c r="X171" s="366">
        <f t="shared" si="260"/>
        <v>0</v>
      </c>
      <c r="Y171" s="462">
        <v>0</v>
      </c>
      <c r="Z171" s="719">
        <v>0</v>
      </c>
      <c r="AA171" s="630">
        <v>0</v>
      </c>
      <c r="AB171" s="579">
        <v>0</v>
      </c>
      <c r="AC171" s="468">
        <f t="shared" si="263"/>
        <v>0</v>
      </c>
      <c r="AD171" s="366">
        <f t="shared" si="264"/>
        <v>0</v>
      </c>
      <c r="AE171" s="462">
        <v>0</v>
      </c>
      <c r="AF171" s="710">
        <v>0</v>
      </c>
      <c r="AG171" s="589">
        <v>0</v>
      </c>
      <c r="AH171" s="579">
        <v>0</v>
      </c>
    </row>
    <row r="172" spans="1:34">
      <c r="A172" s="82"/>
      <c r="B172" s="39" t="s">
        <v>396</v>
      </c>
      <c r="C172" s="182">
        <v>3</v>
      </c>
      <c r="D172" s="182">
        <v>1</v>
      </c>
      <c r="E172" s="344">
        <v>6</v>
      </c>
      <c r="F172" s="40">
        <v>2</v>
      </c>
      <c r="G172" s="608">
        <v>4</v>
      </c>
      <c r="H172" s="589">
        <v>0</v>
      </c>
      <c r="I172" s="630">
        <v>0</v>
      </c>
      <c r="J172" s="579">
        <v>0</v>
      </c>
      <c r="K172" s="359">
        <f t="shared" si="251"/>
        <v>0</v>
      </c>
      <c r="L172" s="366">
        <f t="shared" si="252"/>
        <v>0</v>
      </c>
      <c r="M172" s="465">
        <v>0</v>
      </c>
      <c r="N172" s="589">
        <v>0</v>
      </c>
      <c r="O172" s="589">
        <v>0</v>
      </c>
      <c r="P172" s="579">
        <v>0</v>
      </c>
      <c r="Q172" s="359">
        <f t="shared" si="255"/>
        <v>0</v>
      </c>
      <c r="R172" s="366">
        <f t="shared" si="256"/>
        <v>0</v>
      </c>
      <c r="S172" s="171">
        <v>0</v>
      </c>
      <c r="T172" s="710">
        <v>0</v>
      </c>
      <c r="U172" s="589">
        <v>0</v>
      </c>
      <c r="V172" s="579">
        <v>0</v>
      </c>
      <c r="W172" s="468">
        <f t="shared" si="259"/>
        <v>0</v>
      </c>
      <c r="X172" s="366">
        <f t="shared" si="260"/>
        <v>0</v>
      </c>
      <c r="Y172" s="462">
        <v>0</v>
      </c>
      <c r="Z172" s="719">
        <v>0</v>
      </c>
      <c r="AA172" s="630">
        <v>0</v>
      </c>
      <c r="AB172" s="579">
        <v>0</v>
      </c>
      <c r="AC172" s="468">
        <f t="shared" si="263"/>
        <v>0</v>
      </c>
      <c r="AD172" s="366">
        <f t="shared" si="264"/>
        <v>0</v>
      </c>
      <c r="AE172" s="462">
        <v>0</v>
      </c>
      <c r="AF172" s="710">
        <v>0</v>
      </c>
      <c r="AG172" s="589">
        <v>0</v>
      </c>
      <c r="AH172" s="579">
        <v>0</v>
      </c>
    </row>
    <row r="173" spans="1:34">
      <c r="A173" s="82"/>
      <c r="B173" s="39" t="s">
        <v>397</v>
      </c>
      <c r="C173" s="182">
        <v>58</v>
      </c>
      <c r="D173" s="182">
        <v>19</v>
      </c>
      <c r="E173" s="344">
        <v>3</v>
      </c>
      <c r="F173" s="40">
        <v>1</v>
      </c>
      <c r="G173" s="608">
        <v>1</v>
      </c>
      <c r="H173" s="589">
        <v>0</v>
      </c>
      <c r="I173" s="630">
        <v>0</v>
      </c>
      <c r="J173" s="171">
        <v>0</v>
      </c>
      <c r="K173" s="359">
        <f t="shared" si="251"/>
        <v>0</v>
      </c>
      <c r="L173" s="366">
        <f t="shared" si="252"/>
        <v>0</v>
      </c>
      <c r="M173" s="171">
        <v>0</v>
      </c>
      <c r="N173" s="589">
        <v>0</v>
      </c>
      <c r="O173" s="589">
        <v>0</v>
      </c>
      <c r="P173" s="171">
        <v>0</v>
      </c>
      <c r="Q173" s="359">
        <f t="shared" si="255"/>
        <v>0</v>
      </c>
      <c r="R173" s="366">
        <f t="shared" si="256"/>
        <v>1</v>
      </c>
      <c r="S173" s="171">
        <v>0</v>
      </c>
      <c r="T173" s="710">
        <v>0</v>
      </c>
      <c r="U173" s="589">
        <v>1</v>
      </c>
      <c r="V173" s="579">
        <v>0</v>
      </c>
      <c r="W173" s="468">
        <f t="shared" si="259"/>
        <v>0</v>
      </c>
      <c r="X173" s="366">
        <f t="shared" si="260"/>
        <v>0</v>
      </c>
      <c r="Y173" s="462">
        <v>0</v>
      </c>
      <c r="Z173" s="719">
        <v>0</v>
      </c>
      <c r="AA173" s="630">
        <v>1</v>
      </c>
      <c r="AB173" s="462">
        <v>0</v>
      </c>
      <c r="AC173" s="468">
        <f t="shared" si="263"/>
        <v>0</v>
      </c>
      <c r="AD173" s="366">
        <f t="shared" si="264"/>
        <v>0</v>
      </c>
      <c r="AE173" s="462">
        <v>0</v>
      </c>
      <c r="AF173" s="710">
        <v>0</v>
      </c>
      <c r="AG173" s="589">
        <v>1</v>
      </c>
      <c r="AH173" s="462">
        <v>0</v>
      </c>
    </row>
    <row r="174" spans="1:34">
      <c r="A174" s="82"/>
      <c r="B174" s="39" t="s">
        <v>62</v>
      </c>
      <c r="C174" s="182">
        <v>1</v>
      </c>
      <c r="D174" s="182">
        <v>6</v>
      </c>
      <c r="E174" s="344">
        <v>0</v>
      </c>
      <c r="F174" s="40">
        <v>0</v>
      </c>
      <c r="G174" s="608">
        <v>0</v>
      </c>
      <c r="H174" s="589">
        <v>0</v>
      </c>
      <c r="I174" s="630">
        <v>0</v>
      </c>
      <c r="J174" s="171">
        <v>0</v>
      </c>
      <c r="K174" s="359">
        <f t="shared" si="251"/>
        <v>0</v>
      </c>
      <c r="L174" s="366">
        <f t="shared" si="252"/>
        <v>1</v>
      </c>
      <c r="M174" s="171">
        <v>0</v>
      </c>
      <c r="N174" s="589">
        <v>0</v>
      </c>
      <c r="O174" s="589">
        <v>1</v>
      </c>
      <c r="P174" s="171">
        <v>0</v>
      </c>
      <c r="Q174" s="359">
        <f t="shared" si="255"/>
        <v>0</v>
      </c>
      <c r="R174" s="366">
        <f t="shared" si="256"/>
        <v>0</v>
      </c>
      <c r="S174" s="171">
        <v>0</v>
      </c>
      <c r="T174" s="710">
        <v>0</v>
      </c>
      <c r="U174" s="589">
        <v>1</v>
      </c>
      <c r="V174" s="579">
        <v>0</v>
      </c>
      <c r="W174" s="468">
        <f t="shared" si="259"/>
        <v>0</v>
      </c>
      <c r="X174" s="366">
        <f t="shared" si="260"/>
        <v>0</v>
      </c>
      <c r="Y174" s="462">
        <v>0</v>
      </c>
      <c r="Z174" s="719">
        <v>0</v>
      </c>
      <c r="AA174" s="630">
        <v>1</v>
      </c>
      <c r="AB174" s="462">
        <v>0</v>
      </c>
      <c r="AC174" s="468">
        <f t="shared" si="263"/>
        <v>0</v>
      </c>
      <c r="AD174" s="366">
        <f t="shared" si="264"/>
        <v>0</v>
      </c>
      <c r="AE174" s="462">
        <v>0</v>
      </c>
      <c r="AF174" s="710">
        <v>0</v>
      </c>
      <c r="AG174" s="589">
        <v>1</v>
      </c>
      <c r="AH174" s="462">
        <v>0</v>
      </c>
    </row>
    <row r="175" spans="1:34">
      <c r="A175" s="82"/>
      <c r="B175" s="39" t="s">
        <v>398</v>
      </c>
      <c r="C175" s="182">
        <v>1</v>
      </c>
      <c r="D175" s="182">
        <v>0</v>
      </c>
      <c r="E175" s="344">
        <v>0</v>
      </c>
      <c r="F175" s="40">
        <v>0</v>
      </c>
      <c r="G175" s="608">
        <v>0</v>
      </c>
      <c r="H175" s="589">
        <v>0</v>
      </c>
      <c r="I175" s="630">
        <v>0</v>
      </c>
      <c r="J175" s="171">
        <v>0</v>
      </c>
      <c r="K175" s="359">
        <f t="shared" si="251"/>
        <v>0</v>
      </c>
      <c r="L175" s="366">
        <f t="shared" si="252"/>
        <v>0</v>
      </c>
      <c r="M175" s="171">
        <v>0</v>
      </c>
      <c r="N175" s="589">
        <v>0</v>
      </c>
      <c r="O175" s="589">
        <v>0</v>
      </c>
      <c r="P175" s="171">
        <v>0</v>
      </c>
      <c r="Q175" s="359">
        <f t="shared" si="255"/>
        <v>0</v>
      </c>
      <c r="R175" s="366">
        <f t="shared" si="256"/>
        <v>0</v>
      </c>
      <c r="S175" s="171">
        <v>0</v>
      </c>
      <c r="T175" s="710">
        <v>0</v>
      </c>
      <c r="U175" s="589">
        <v>0</v>
      </c>
      <c r="V175" s="579">
        <v>0</v>
      </c>
      <c r="W175" s="468">
        <f t="shared" si="259"/>
        <v>0</v>
      </c>
      <c r="X175" s="366">
        <f t="shared" si="260"/>
        <v>0</v>
      </c>
      <c r="Y175" s="462">
        <v>0</v>
      </c>
      <c r="Z175" s="719">
        <v>0</v>
      </c>
      <c r="AA175" s="630">
        <v>0</v>
      </c>
      <c r="AB175" s="462">
        <v>0</v>
      </c>
      <c r="AC175" s="468">
        <f t="shared" si="263"/>
        <v>0</v>
      </c>
      <c r="AD175" s="366">
        <f t="shared" si="264"/>
        <v>0</v>
      </c>
      <c r="AE175" s="462">
        <v>0</v>
      </c>
      <c r="AF175" s="710">
        <v>0</v>
      </c>
      <c r="AG175" s="589">
        <v>0</v>
      </c>
      <c r="AH175" s="462">
        <v>0</v>
      </c>
    </row>
    <row r="176" spans="1:34">
      <c r="A176" s="82"/>
      <c r="B176" s="39" t="s">
        <v>18</v>
      </c>
      <c r="C176" s="182">
        <f t="shared" ref="C176:E176" si="267">C177-SUM(C160:C175)</f>
        <v>33</v>
      </c>
      <c r="D176" s="182">
        <f t="shared" si="267"/>
        <v>32</v>
      </c>
      <c r="E176" s="344">
        <f t="shared" si="267"/>
        <v>78</v>
      </c>
      <c r="F176" s="40">
        <f>F177-SUM(F160:F175)</f>
        <v>83</v>
      </c>
      <c r="G176" s="608">
        <f>G177-SUM(G160:G175)</f>
        <v>115</v>
      </c>
      <c r="H176" s="589">
        <f t="shared" ref="H176" si="268">H177-SUM(H160:H175)</f>
        <v>0</v>
      </c>
      <c r="I176" s="630">
        <f t="shared" ref="I176" si="269">I177-SUM(I160:I175)</f>
        <v>0</v>
      </c>
      <c r="J176" s="226" t="e">
        <f>ROUND(((I176/H176-1)*100), 1)</f>
        <v>#DIV/0!</v>
      </c>
      <c r="K176" s="359">
        <f>K177-SUM(K160:K175)</f>
        <v>0</v>
      </c>
      <c r="L176" s="366">
        <f>L177-SUM(L160:L175)</f>
        <v>7</v>
      </c>
      <c r="M176" s="580">
        <v>0</v>
      </c>
      <c r="N176" s="589">
        <f>N177-SUM(N160:N175)</f>
        <v>0</v>
      </c>
      <c r="O176" s="589">
        <f t="shared" ref="O176" si="270">O177-SUM(O160:O175)</f>
        <v>7</v>
      </c>
      <c r="P176" s="235" t="e">
        <f>ROUND(((O176/N176-1)*100), 1)</f>
        <v>#DIV/0!</v>
      </c>
      <c r="Q176" s="359">
        <f>Q177-SUM(Q160:Q175)</f>
        <v>1</v>
      </c>
      <c r="R176" s="366">
        <f>R177-SUM(R160:R175)</f>
        <v>0</v>
      </c>
      <c r="S176" s="235">
        <f>ROUND(((R176/Q176-1)*100), 1)</f>
        <v>-100</v>
      </c>
      <c r="T176" s="589">
        <f>T177-SUM(T160:T175)</f>
        <v>1</v>
      </c>
      <c r="U176" s="589">
        <f t="shared" ref="U176" si="271">U177-SUM(U160:U175)</f>
        <v>7</v>
      </c>
      <c r="V176" s="235">
        <f>ROUND(((U176/T176-1)*100), 1)</f>
        <v>600</v>
      </c>
      <c r="W176" s="468">
        <f>W177-SUM(W160:W175)</f>
        <v>2</v>
      </c>
      <c r="X176" s="366">
        <f>X177-SUM(X160:X175)</f>
        <v>3</v>
      </c>
      <c r="Y176" s="571">
        <f>ROUND(((X176/W176-1)*100), 1)</f>
        <v>50</v>
      </c>
      <c r="Z176" s="630">
        <f>Z177-SUM(Z160:Z175)</f>
        <v>3</v>
      </c>
      <c r="AA176" s="630">
        <f t="shared" ref="AA176" si="272">AA177-SUM(AA160:AA175)</f>
        <v>10</v>
      </c>
      <c r="AB176" s="235">
        <f>ROUND(((AA176/Z176-1)*100), 1)</f>
        <v>233.3</v>
      </c>
      <c r="AC176" s="468">
        <f>AC177-SUM(AC160:AC175)</f>
        <v>19</v>
      </c>
      <c r="AD176" s="366">
        <f>AD177-SUM(AD160:AD175)</f>
        <v>19</v>
      </c>
      <c r="AE176" s="235">
        <f>ROUND(((AD176/AC176-1)*100), 1)</f>
        <v>0</v>
      </c>
      <c r="AF176" s="589">
        <f>AF177-SUM(AF160:AF175)</f>
        <v>22</v>
      </c>
      <c r="AG176" s="589">
        <f t="shared" ref="AG176" si="273">AG177-SUM(AG160:AG175)</f>
        <v>29</v>
      </c>
      <c r="AH176" s="235">
        <f>ROUND(((AG176/AF176-1)*100), 1)</f>
        <v>31.8</v>
      </c>
    </row>
    <row r="177" spans="1:34">
      <c r="A177" s="83"/>
      <c r="B177" s="63" t="s">
        <v>101</v>
      </c>
      <c r="C177" s="308">
        <v>18816</v>
      </c>
      <c r="D177" s="308">
        <v>17770</v>
      </c>
      <c r="E177" s="352">
        <v>15350</v>
      </c>
      <c r="F177" s="42">
        <v>12619</v>
      </c>
      <c r="G177" s="609">
        <v>13053</v>
      </c>
      <c r="H177" s="582">
        <v>884</v>
      </c>
      <c r="I177" s="632">
        <v>1057</v>
      </c>
      <c r="J177" s="227">
        <f>ROUND(((I177/H177-1)*100), 1)</f>
        <v>19.600000000000001</v>
      </c>
      <c r="K177" s="376">
        <f>N177-H177</f>
        <v>794</v>
      </c>
      <c r="L177" s="280">
        <f>O177-I177</f>
        <v>708</v>
      </c>
      <c r="M177" s="236">
        <f>ROUND(((L177/K177-1)*100), 1)</f>
        <v>-10.8</v>
      </c>
      <c r="N177" s="582">
        <v>1678</v>
      </c>
      <c r="O177" s="582">
        <v>1765</v>
      </c>
      <c r="P177" s="236">
        <f>ROUND(((O177/N177-1)*100), 1)</f>
        <v>5.2</v>
      </c>
      <c r="Q177" s="376">
        <f>T177-N177</f>
        <v>1087</v>
      </c>
      <c r="R177" s="280">
        <f>U177-O177</f>
        <v>1145</v>
      </c>
      <c r="S177" s="236">
        <f>ROUND(((R177/Q177-1)*100), 1)</f>
        <v>5.3</v>
      </c>
      <c r="T177" s="582">
        <v>2765</v>
      </c>
      <c r="U177" s="582">
        <v>2910</v>
      </c>
      <c r="V177" s="236">
        <f>ROUND(((U177/T177-1)*100), 1)</f>
        <v>5.2</v>
      </c>
      <c r="W177" s="376">
        <f>Z177-T177</f>
        <v>832</v>
      </c>
      <c r="X177" s="280">
        <f>AA177-U177</f>
        <v>1124</v>
      </c>
      <c r="Y177" s="236">
        <f>ROUND(((X177/W177-1)*100), 1)</f>
        <v>35.1</v>
      </c>
      <c r="Z177" s="632">
        <v>3597</v>
      </c>
      <c r="AA177" s="632">
        <v>4034</v>
      </c>
      <c r="AB177" s="236">
        <f>ROUND(((AA177/Z177-1)*100), 1)</f>
        <v>12.1</v>
      </c>
      <c r="AC177" s="376">
        <f>AF177-Z177</f>
        <v>873</v>
      </c>
      <c r="AD177" s="280">
        <f>AG177-AA177</f>
        <v>1461</v>
      </c>
      <c r="AE177" s="236">
        <f>ROUND(((AD177/AC177-1)*100), 1)</f>
        <v>67.400000000000006</v>
      </c>
      <c r="AF177" s="582">
        <v>4470</v>
      </c>
      <c r="AG177" s="582">
        <v>5495</v>
      </c>
      <c r="AH177" s="236">
        <f>ROUND(((AG177/AF177-1)*100), 1)</f>
        <v>22.9</v>
      </c>
    </row>
    <row r="178" spans="1:34">
      <c r="A178" s="64" t="s">
        <v>111</v>
      </c>
      <c r="B178" s="278"/>
      <c r="J178" s="221"/>
    </row>
    <row r="179" spans="1:34">
      <c r="A179" s="51"/>
      <c r="B179" s="278"/>
      <c r="J179" s="221"/>
    </row>
    <row r="180" spans="1:34">
      <c r="A180" s="77" t="s">
        <v>131</v>
      </c>
      <c r="B180" s="241"/>
      <c r="C180" s="58"/>
      <c r="G180" s="58" t="s">
        <v>132</v>
      </c>
      <c r="H180" s="568"/>
      <c r="I180" s="625"/>
      <c r="J180" s="232"/>
      <c r="K180" s="267"/>
      <c r="L180" s="267"/>
      <c r="M180" s="232"/>
      <c r="N180" s="568"/>
      <c r="O180" s="568"/>
      <c r="P180" s="232"/>
      <c r="Q180" s="267"/>
      <c r="R180" s="267"/>
      <c r="S180" s="232"/>
      <c r="T180" s="568"/>
      <c r="U180" s="568"/>
      <c r="V180" s="232"/>
      <c r="W180" s="267"/>
      <c r="X180" s="267"/>
      <c r="Y180" s="232"/>
      <c r="Z180" s="625"/>
      <c r="AA180" s="625"/>
      <c r="AB180" s="232"/>
      <c r="AC180" s="267"/>
      <c r="AD180" s="267"/>
      <c r="AE180" s="232"/>
      <c r="AF180" s="568"/>
      <c r="AG180" s="568"/>
      <c r="AH180" s="232"/>
    </row>
    <row r="181" spans="1:34">
      <c r="A181" s="60"/>
      <c r="B181" s="26"/>
      <c r="C181" s="61"/>
      <c r="D181" s="61"/>
      <c r="E181" s="223"/>
      <c r="F181" s="223"/>
      <c r="G181" s="223"/>
      <c r="H181" s="223"/>
      <c r="I181" s="619"/>
      <c r="J181" s="229" t="s">
        <v>87</v>
      </c>
      <c r="K181" s="223"/>
      <c r="L181" s="223"/>
      <c r="M181" s="237"/>
      <c r="N181" s="223"/>
      <c r="O181" s="223"/>
      <c r="P181" s="237" t="s">
        <v>87</v>
      </c>
      <c r="Q181" s="223"/>
      <c r="R181" s="223"/>
      <c r="S181" s="237"/>
      <c r="T181" s="223"/>
      <c r="U181" s="223"/>
      <c r="V181" s="237" t="s">
        <v>87</v>
      </c>
      <c r="W181" s="223"/>
      <c r="X181" s="223"/>
      <c r="Y181" s="237"/>
      <c r="Z181" s="619"/>
      <c r="AA181" s="619"/>
      <c r="AB181" s="237" t="s">
        <v>87</v>
      </c>
      <c r="AC181" s="223"/>
      <c r="AD181" s="223"/>
      <c r="AE181" s="237"/>
      <c r="AF181" s="223"/>
      <c r="AG181" s="223"/>
      <c r="AH181" s="237" t="s">
        <v>87</v>
      </c>
    </row>
    <row r="182" spans="1:34">
      <c r="A182" s="839" t="s">
        <v>88</v>
      </c>
      <c r="B182" s="839"/>
      <c r="C182" s="838" t="s">
        <v>2</v>
      </c>
      <c r="D182" s="838" t="s">
        <v>3</v>
      </c>
      <c r="E182" s="837" t="s">
        <v>76</v>
      </c>
      <c r="F182" s="838" t="s">
        <v>294</v>
      </c>
      <c r="G182" s="838" t="s">
        <v>431</v>
      </c>
      <c r="H182" s="837" t="s">
        <v>33</v>
      </c>
      <c r="I182" s="838"/>
      <c r="J182" s="839"/>
      <c r="K182" s="837" t="s">
        <v>471</v>
      </c>
      <c r="L182" s="838"/>
      <c r="M182" s="839"/>
      <c r="N182" s="837" t="s">
        <v>472</v>
      </c>
      <c r="O182" s="838"/>
      <c r="P182" s="839"/>
      <c r="Q182" s="837" t="s">
        <v>477</v>
      </c>
      <c r="R182" s="838"/>
      <c r="S182" s="839"/>
      <c r="T182" s="837" t="s">
        <v>478</v>
      </c>
      <c r="U182" s="838"/>
      <c r="V182" s="839"/>
      <c r="W182" s="837" t="s">
        <v>484</v>
      </c>
      <c r="X182" s="838"/>
      <c r="Y182" s="839"/>
      <c r="Z182" s="837" t="s">
        <v>486</v>
      </c>
      <c r="AA182" s="838"/>
      <c r="AB182" s="839"/>
      <c r="AC182" s="837" t="s">
        <v>495</v>
      </c>
      <c r="AD182" s="838"/>
      <c r="AE182" s="839"/>
      <c r="AF182" s="837" t="s">
        <v>496</v>
      </c>
      <c r="AG182" s="838"/>
      <c r="AH182" s="839"/>
    </row>
    <row r="183" spans="1:34">
      <c r="A183" s="839"/>
      <c r="B183" s="839"/>
      <c r="C183" s="838"/>
      <c r="D183" s="838"/>
      <c r="E183" s="837"/>
      <c r="F183" s="838"/>
      <c r="G183" s="838"/>
      <c r="H183" s="535" t="s">
        <v>431</v>
      </c>
      <c r="I183" s="697" t="s">
        <v>503</v>
      </c>
      <c r="J183" s="531" t="s">
        <v>5</v>
      </c>
      <c r="K183" s="535" t="s">
        <v>431</v>
      </c>
      <c r="L183" s="533" t="s">
        <v>503</v>
      </c>
      <c r="M183" s="531" t="s">
        <v>5</v>
      </c>
      <c r="N183" s="535" t="s">
        <v>431</v>
      </c>
      <c r="O183" s="533" t="s">
        <v>503</v>
      </c>
      <c r="P183" s="531" t="s">
        <v>5</v>
      </c>
      <c r="Q183" s="535" t="s">
        <v>431</v>
      </c>
      <c r="R183" s="533" t="s">
        <v>503</v>
      </c>
      <c r="S183" s="531" t="s">
        <v>5</v>
      </c>
      <c r="T183" s="535" t="s">
        <v>431</v>
      </c>
      <c r="U183" s="533" t="s">
        <v>503</v>
      </c>
      <c r="V183" s="531" t="s">
        <v>5</v>
      </c>
      <c r="W183" s="535" t="s">
        <v>431</v>
      </c>
      <c r="X183" s="533" t="s">
        <v>503</v>
      </c>
      <c r="Y183" s="531" t="s">
        <v>5</v>
      </c>
      <c r="Z183" s="698" t="s">
        <v>431</v>
      </c>
      <c r="AA183" s="697" t="s">
        <v>503</v>
      </c>
      <c r="AB183" s="531" t="s">
        <v>5</v>
      </c>
      <c r="AC183" s="535" t="s">
        <v>431</v>
      </c>
      <c r="AD183" s="533" t="s">
        <v>503</v>
      </c>
      <c r="AE183" s="531" t="s">
        <v>5</v>
      </c>
      <c r="AF183" s="535" t="s">
        <v>431</v>
      </c>
      <c r="AG183" s="533" t="s">
        <v>503</v>
      </c>
      <c r="AH183" s="531" t="s">
        <v>5</v>
      </c>
    </row>
    <row r="184" spans="1:34">
      <c r="A184" s="7"/>
      <c r="B184" s="81" t="s">
        <v>43</v>
      </c>
      <c r="C184" s="183">
        <v>15747</v>
      </c>
      <c r="D184" s="183">
        <v>17772</v>
      </c>
      <c r="E184" s="357">
        <v>18164</v>
      </c>
      <c r="F184" s="62">
        <v>16850</v>
      </c>
      <c r="G184" s="62">
        <v>14848</v>
      </c>
      <c r="H184" s="584">
        <v>1125</v>
      </c>
      <c r="I184" s="634">
        <v>1560</v>
      </c>
      <c r="J184" s="225">
        <f t="shared" ref="J184:J204" si="274">ROUND(((I184/H184-1)*100), 1)</f>
        <v>38.700000000000003</v>
      </c>
      <c r="K184" s="360">
        <f t="shared" ref="K184:K203" si="275">N184-H184</f>
        <v>966</v>
      </c>
      <c r="L184" s="365">
        <f t="shared" ref="L184:L203" si="276">O184-I184</f>
        <v>1250</v>
      </c>
      <c r="M184" s="225">
        <f t="shared" ref="M184:M193" si="277">ROUND(((L184/K184-1)*100), 1)</f>
        <v>29.4</v>
      </c>
      <c r="N184" s="584">
        <v>2091</v>
      </c>
      <c r="O184" s="584">
        <v>2810</v>
      </c>
      <c r="P184" s="225">
        <f t="shared" ref="P184:P202" si="278">ROUND(((O184/N184-1)*100), 1)</f>
        <v>34.4</v>
      </c>
      <c r="Q184" s="360">
        <f t="shared" ref="Q184:Q203" si="279">T184-N184</f>
        <v>1185</v>
      </c>
      <c r="R184" s="365">
        <f t="shared" ref="R184:R203" si="280">U184-O184</f>
        <v>1431</v>
      </c>
      <c r="S184" s="225">
        <f t="shared" ref="S184:S200" si="281">ROUND(((R184/Q184-1)*100), 1)</f>
        <v>20.8</v>
      </c>
      <c r="T184" s="709">
        <v>3276</v>
      </c>
      <c r="U184" s="584">
        <v>4241</v>
      </c>
      <c r="V184" s="225">
        <f t="shared" ref="V184:V201" si="282">ROUND(((U184/T184-1)*100), 1)</f>
        <v>29.5</v>
      </c>
      <c r="W184" s="469">
        <f t="shared" ref="W184:W203" si="283">Z184-T184</f>
        <v>1249</v>
      </c>
      <c r="X184" s="365">
        <f t="shared" ref="X184:X203" si="284">AA184-U184</f>
        <v>1225</v>
      </c>
      <c r="Y184" s="225">
        <f t="shared" ref="Y184:Y198" si="285">ROUND(((X184/W184-1)*100), 1)</f>
        <v>-1.9</v>
      </c>
      <c r="Z184" s="718">
        <v>4525</v>
      </c>
      <c r="AA184" s="634">
        <v>5466</v>
      </c>
      <c r="AB184" s="225">
        <f t="shared" ref="AB184:AB202" si="286">ROUND(((AA184/Z184-1)*100), 1)</f>
        <v>20.8</v>
      </c>
      <c r="AC184" s="469">
        <f t="shared" ref="AC184:AC203" si="287">AF184-Z184</f>
        <v>891</v>
      </c>
      <c r="AD184" s="365">
        <f t="shared" ref="AD184:AD203" si="288">AG184-AA184</f>
        <v>1359</v>
      </c>
      <c r="AE184" s="225">
        <f t="shared" ref="AE184:AE195" si="289">ROUND(((AD184/AC184-1)*100), 1)</f>
        <v>52.5</v>
      </c>
      <c r="AF184" s="709">
        <v>5416</v>
      </c>
      <c r="AG184" s="584">
        <v>6825</v>
      </c>
      <c r="AH184" s="225">
        <f t="shared" ref="AH184:AH200" si="290">ROUND(((AG184/AF184-1)*100), 1)</f>
        <v>26</v>
      </c>
    </row>
    <row r="185" spans="1:34">
      <c r="A185" s="3" t="s">
        <v>114</v>
      </c>
      <c r="B185" s="610" t="s">
        <v>401</v>
      </c>
      <c r="C185" s="310">
        <v>0</v>
      </c>
      <c r="D185" s="310">
        <v>0</v>
      </c>
      <c r="E185" s="354">
        <v>473</v>
      </c>
      <c r="F185" s="324">
        <v>2278</v>
      </c>
      <c r="G185" s="608">
        <v>9032</v>
      </c>
      <c r="H185" s="573">
        <v>321</v>
      </c>
      <c r="I185" s="635">
        <v>1090</v>
      </c>
      <c r="J185" s="226">
        <f t="shared" si="274"/>
        <v>239.6</v>
      </c>
      <c r="K185" s="528">
        <f t="shared" si="275"/>
        <v>395</v>
      </c>
      <c r="L185" s="573">
        <f t="shared" si="276"/>
        <v>1016</v>
      </c>
      <c r="M185" s="235">
        <f t="shared" si="277"/>
        <v>157.19999999999999</v>
      </c>
      <c r="N185" s="573">
        <v>716</v>
      </c>
      <c r="O185" s="573">
        <v>2106</v>
      </c>
      <c r="P185" s="235">
        <f t="shared" si="278"/>
        <v>194.1</v>
      </c>
      <c r="Q185" s="528">
        <f t="shared" si="279"/>
        <v>744</v>
      </c>
      <c r="R185" s="573">
        <f t="shared" si="280"/>
        <v>1242</v>
      </c>
      <c r="S185" s="235">
        <f t="shared" si="281"/>
        <v>66.900000000000006</v>
      </c>
      <c r="T185" s="710">
        <v>1460</v>
      </c>
      <c r="U185" s="589">
        <v>3348</v>
      </c>
      <c r="V185" s="235">
        <f t="shared" si="282"/>
        <v>129.30000000000001</v>
      </c>
      <c r="W185" s="528">
        <f t="shared" si="283"/>
        <v>579</v>
      </c>
      <c r="X185" s="573">
        <f t="shared" si="284"/>
        <v>1070</v>
      </c>
      <c r="Y185" s="235">
        <f t="shared" si="285"/>
        <v>84.8</v>
      </c>
      <c r="Z185" s="719">
        <v>2039</v>
      </c>
      <c r="AA185" s="630">
        <v>4418</v>
      </c>
      <c r="AB185" s="235">
        <f t="shared" si="286"/>
        <v>116.7</v>
      </c>
      <c r="AC185" s="528">
        <f t="shared" si="287"/>
        <v>376</v>
      </c>
      <c r="AD185" s="573">
        <f t="shared" si="288"/>
        <v>1376</v>
      </c>
      <c r="AE185" s="235">
        <f t="shared" si="289"/>
        <v>266</v>
      </c>
      <c r="AF185" s="710">
        <v>2415</v>
      </c>
      <c r="AG185" s="589">
        <v>5794</v>
      </c>
      <c r="AH185" s="235">
        <f t="shared" si="290"/>
        <v>139.9</v>
      </c>
    </row>
    <row r="186" spans="1:34">
      <c r="A186" s="3"/>
      <c r="B186" s="610" t="s">
        <v>400</v>
      </c>
      <c r="C186" s="310">
        <v>0</v>
      </c>
      <c r="D186" s="310">
        <v>39</v>
      </c>
      <c r="E186" s="354">
        <v>557</v>
      </c>
      <c r="F186" s="324">
        <v>2594</v>
      </c>
      <c r="G186" s="608">
        <v>4806</v>
      </c>
      <c r="H186" s="573">
        <v>0</v>
      </c>
      <c r="I186" s="635">
        <v>490</v>
      </c>
      <c r="J186" s="579">
        <v>0</v>
      </c>
      <c r="K186" s="528">
        <f t="shared" si="275"/>
        <v>115</v>
      </c>
      <c r="L186" s="573">
        <f t="shared" si="276"/>
        <v>405</v>
      </c>
      <c r="M186" s="572">
        <f t="shared" si="277"/>
        <v>252.2</v>
      </c>
      <c r="N186" s="573">
        <v>115</v>
      </c>
      <c r="O186" s="573">
        <v>895</v>
      </c>
      <c r="P186" s="572">
        <f t="shared" si="278"/>
        <v>678.3</v>
      </c>
      <c r="Q186" s="528">
        <f t="shared" si="279"/>
        <v>377</v>
      </c>
      <c r="R186" s="573">
        <f t="shared" si="280"/>
        <v>572</v>
      </c>
      <c r="S186" s="572">
        <f t="shared" si="281"/>
        <v>51.7</v>
      </c>
      <c r="T186" s="710">
        <v>492</v>
      </c>
      <c r="U186" s="589">
        <v>1467</v>
      </c>
      <c r="V186" s="572">
        <f t="shared" si="282"/>
        <v>198.2</v>
      </c>
      <c r="W186" s="528">
        <f t="shared" si="283"/>
        <v>304</v>
      </c>
      <c r="X186" s="573">
        <f t="shared" si="284"/>
        <v>558</v>
      </c>
      <c r="Y186" s="572">
        <f t="shared" si="285"/>
        <v>83.6</v>
      </c>
      <c r="Z186" s="719">
        <v>796</v>
      </c>
      <c r="AA186" s="630">
        <v>2025</v>
      </c>
      <c r="AB186" s="572">
        <f t="shared" si="286"/>
        <v>154.4</v>
      </c>
      <c r="AC186" s="528">
        <f t="shared" si="287"/>
        <v>700</v>
      </c>
      <c r="AD186" s="573">
        <f t="shared" si="288"/>
        <v>448</v>
      </c>
      <c r="AE186" s="572">
        <f t="shared" si="289"/>
        <v>-36</v>
      </c>
      <c r="AF186" s="710">
        <v>1496</v>
      </c>
      <c r="AG186" s="589">
        <v>2473</v>
      </c>
      <c r="AH186" s="572">
        <f t="shared" si="290"/>
        <v>65.3</v>
      </c>
    </row>
    <row r="187" spans="1:34">
      <c r="A187" s="3"/>
      <c r="B187" s="611" t="s">
        <v>47</v>
      </c>
      <c r="C187" s="613">
        <v>2904</v>
      </c>
      <c r="D187" s="613">
        <v>4104</v>
      </c>
      <c r="E187" s="583">
        <v>4882</v>
      </c>
      <c r="F187" s="608">
        <v>3776</v>
      </c>
      <c r="G187" s="608">
        <v>3513</v>
      </c>
      <c r="H187" s="589">
        <v>189</v>
      </c>
      <c r="I187" s="630">
        <v>374</v>
      </c>
      <c r="J187" s="571">
        <f t="shared" si="274"/>
        <v>97.9</v>
      </c>
      <c r="K187" s="587">
        <f t="shared" si="275"/>
        <v>288</v>
      </c>
      <c r="L187" s="589">
        <f t="shared" si="276"/>
        <v>334</v>
      </c>
      <c r="M187" s="571">
        <f t="shared" si="277"/>
        <v>16</v>
      </c>
      <c r="N187" s="589">
        <v>477</v>
      </c>
      <c r="O187" s="589">
        <v>708</v>
      </c>
      <c r="P187" s="571">
        <f t="shared" si="278"/>
        <v>48.4</v>
      </c>
      <c r="Q187" s="587">
        <f t="shared" si="279"/>
        <v>348</v>
      </c>
      <c r="R187" s="589">
        <f t="shared" si="280"/>
        <v>370</v>
      </c>
      <c r="S187" s="571">
        <f t="shared" si="281"/>
        <v>6.3</v>
      </c>
      <c r="T187" s="710">
        <v>825</v>
      </c>
      <c r="U187" s="589">
        <v>1078</v>
      </c>
      <c r="V187" s="571">
        <f t="shared" si="282"/>
        <v>30.7</v>
      </c>
      <c r="W187" s="587">
        <f t="shared" si="283"/>
        <v>319</v>
      </c>
      <c r="X187" s="589">
        <f t="shared" si="284"/>
        <v>359</v>
      </c>
      <c r="Y187" s="571">
        <f t="shared" si="285"/>
        <v>12.5</v>
      </c>
      <c r="Z187" s="719">
        <v>1144</v>
      </c>
      <c r="AA187" s="630">
        <v>1437</v>
      </c>
      <c r="AB187" s="571">
        <f t="shared" si="286"/>
        <v>25.6</v>
      </c>
      <c r="AC187" s="587">
        <f t="shared" si="287"/>
        <v>240</v>
      </c>
      <c r="AD187" s="589">
        <f t="shared" si="288"/>
        <v>393</v>
      </c>
      <c r="AE187" s="571">
        <f t="shared" si="289"/>
        <v>63.8</v>
      </c>
      <c r="AF187" s="710">
        <v>1384</v>
      </c>
      <c r="AG187" s="589">
        <v>1830</v>
      </c>
      <c r="AH187" s="571">
        <f t="shared" si="290"/>
        <v>32.200000000000003</v>
      </c>
    </row>
    <row r="188" spans="1:34">
      <c r="A188" s="3"/>
      <c r="B188" s="611" t="s">
        <v>399</v>
      </c>
      <c r="C188" s="613">
        <v>1794</v>
      </c>
      <c r="D188" s="613">
        <v>2208</v>
      </c>
      <c r="E188" s="583">
        <v>2579</v>
      </c>
      <c r="F188" s="608">
        <v>2810</v>
      </c>
      <c r="G188" s="608">
        <v>2534</v>
      </c>
      <c r="H188" s="589">
        <v>199</v>
      </c>
      <c r="I188" s="630">
        <v>165</v>
      </c>
      <c r="J188" s="571">
        <f t="shared" si="274"/>
        <v>-17.100000000000001</v>
      </c>
      <c r="K188" s="587">
        <f t="shared" si="275"/>
        <v>231</v>
      </c>
      <c r="L188" s="589">
        <f t="shared" si="276"/>
        <v>123</v>
      </c>
      <c r="M188" s="235">
        <f t="shared" si="277"/>
        <v>-46.8</v>
      </c>
      <c r="N188" s="589">
        <v>430</v>
      </c>
      <c r="O188" s="589">
        <v>288</v>
      </c>
      <c r="P188" s="235">
        <f t="shared" si="278"/>
        <v>-33</v>
      </c>
      <c r="Q188" s="587">
        <f t="shared" si="279"/>
        <v>213</v>
      </c>
      <c r="R188" s="589">
        <f t="shared" si="280"/>
        <v>161</v>
      </c>
      <c r="S188" s="235">
        <f t="shared" si="281"/>
        <v>-24.4</v>
      </c>
      <c r="T188" s="710">
        <v>643</v>
      </c>
      <c r="U188" s="589">
        <v>449</v>
      </c>
      <c r="V188" s="235">
        <f t="shared" si="282"/>
        <v>-30.2</v>
      </c>
      <c r="W188" s="587">
        <f t="shared" si="283"/>
        <v>175</v>
      </c>
      <c r="X188" s="589">
        <f t="shared" si="284"/>
        <v>147</v>
      </c>
      <c r="Y188" s="235">
        <f t="shared" si="285"/>
        <v>-16</v>
      </c>
      <c r="Z188" s="719">
        <v>818</v>
      </c>
      <c r="AA188" s="630">
        <v>596</v>
      </c>
      <c r="AB188" s="235">
        <f t="shared" si="286"/>
        <v>-27.1</v>
      </c>
      <c r="AC188" s="587">
        <f t="shared" si="287"/>
        <v>183</v>
      </c>
      <c r="AD188" s="589">
        <f t="shared" si="288"/>
        <v>161</v>
      </c>
      <c r="AE188" s="235">
        <f t="shared" si="289"/>
        <v>-12</v>
      </c>
      <c r="AF188" s="710">
        <v>1001</v>
      </c>
      <c r="AG188" s="589">
        <v>757</v>
      </c>
      <c r="AH188" s="235">
        <f t="shared" si="290"/>
        <v>-24.4</v>
      </c>
    </row>
    <row r="189" spans="1:34">
      <c r="A189" s="3"/>
      <c r="B189" s="39" t="s">
        <v>49</v>
      </c>
      <c r="C189" s="182">
        <v>2569</v>
      </c>
      <c r="D189" s="182">
        <v>3228</v>
      </c>
      <c r="E189" s="344">
        <v>3905</v>
      </c>
      <c r="F189" s="40">
        <v>1991</v>
      </c>
      <c r="G189" s="608">
        <v>2242</v>
      </c>
      <c r="H189" s="589">
        <v>85</v>
      </c>
      <c r="I189" s="630">
        <v>146</v>
      </c>
      <c r="J189" s="571">
        <f t="shared" si="274"/>
        <v>71.8</v>
      </c>
      <c r="K189" s="359">
        <f t="shared" si="275"/>
        <v>129</v>
      </c>
      <c r="L189" s="366">
        <f t="shared" si="276"/>
        <v>163</v>
      </c>
      <c r="M189" s="235">
        <f t="shared" si="277"/>
        <v>26.4</v>
      </c>
      <c r="N189" s="589">
        <v>214</v>
      </c>
      <c r="O189" s="589">
        <v>309</v>
      </c>
      <c r="P189" s="235">
        <f t="shared" si="278"/>
        <v>44.4</v>
      </c>
      <c r="Q189" s="359">
        <f t="shared" si="279"/>
        <v>57</v>
      </c>
      <c r="R189" s="366">
        <f t="shared" si="280"/>
        <v>17</v>
      </c>
      <c r="S189" s="571">
        <f t="shared" si="281"/>
        <v>-70.2</v>
      </c>
      <c r="T189" s="710">
        <v>271</v>
      </c>
      <c r="U189" s="589">
        <v>326</v>
      </c>
      <c r="V189" s="235">
        <f t="shared" si="282"/>
        <v>20.3</v>
      </c>
      <c r="W189" s="468">
        <f t="shared" si="283"/>
        <v>310</v>
      </c>
      <c r="X189" s="366">
        <f t="shared" si="284"/>
        <v>278</v>
      </c>
      <c r="Y189" s="235">
        <f t="shared" si="285"/>
        <v>-10.3</v>
      </c>
      <c r="Z189" s="719">
        <v>581</v>
      </c>
      <c r="AA189" s="630">
        <v>604</v>
      </c>
      <c r="AB189" s="235">
        <f t="shared" si="286"/>
        <v>4</v>
      </c>
      <c r="AC189" s="468">
        <f t="shared" si="287"/>
        <v>170</v>
      </c>
      <c r="AD189" s="366">
        <f t="shared" si="288"/>
        <v>246</v>
      </c>
      <c r="AE189" s="235">
        <f t="shared" si="289"/>
        <v>44.7</v>
      </c>
      <c r="AF189" s="710">
        <v>751</v>
      </c>
      <c r="AG189" s="589">
        <v>850</v>
      </c>
      <c r="AH189" s="235">
        <f t="shared" si="290"/>
        <v>13.2</v>
      </c>
    </row>
    <row r="190" spans="1:34">
      <c r="A190" s="3"/>
      <c r="B190" s="39" t="s">
        <v>46</v>
      </c>
      <c r="C190" s="182">
        <v>976</v>
      </c>
      <c r="D190" s="182">
        <v>623</v>
      </c>
      <c r="E190" s="344">
        <v>947</v>
      </c>
      <c r="F190" s="40">
        <v>942</v>
      </c>
      <c r="G190" s="608">
        <v>1320</v>
      </c>
      <c r="H190" s="589">
        <v>114</v>
      </c>
      <c r="I190" s="630">
        <v>154</v>
      </c>
      <c r="J190" s="571">
        <f t="shared" si="274"/>
        <v>35.1</v>
      </c>
      <c r="K190" s="359">
        <f t="shared" si="275"/>
        <v>123</v>
      </c>
      <c r="L190" s="366">
        <f t="shared" si="276"/>
        <v>172</v>
      </c>
      <c r="M190" s="235">
        <f t="shared" si="277"/>
        <v>39.799999999999997</v>
      </c>
      <c r="N190" s="589">
        <v>237</v>
      </c>
      <c r="O190" s="589">
        <v>326</v>
      </c>
      <c r="P190" s="235">
        <f t="shared" si="278"/>
        <v>37.6</v>
      </c>
      <c r="Q190" s="359">
        <f t="shared" si="279"/>
        <v>158</v>
      </c>
      <c r="R190" s="366">
        <f t="shared" si="280"/>
        <v>216</v>
      </c>
      <c r="S190" s="571">
        <f t="shared" si="281"/>
        <v>36.700000000000003</v>
      </c>
      <c r="T190" s="710">
        <v>395</v>
      </c>
      <c r="U190" s="589">
        <v>542</v>
      </c>
      <c r="V190" s="235">
        <f t="shared" si="282"/>
        <v>37.200000000000003</v>
      </c>
      <c r="W190" s="468">
        <f t="shared" si="283"/>
        <v>46</v>
      </c>
      <c r="X190" s="366">
        <f t="shared" si="284"/>
        <v>239</v>
      </c>
      <c r="Y190" s="235">
        <f t="shared" si="285"/>
        <v>419.6</v>
      </c>
      <c r="Z190" s="719">
        <v>441</v>
      </c>
      <c r="AA190" s="630">
        <v>781</v>
      </c>
      <c r="AB190" s="235">
        <f t="shared" si="286"/>
        <v>77.099999999999994</v>
      </c>
      <c r="AC190" s="468">
        <f t="shared" si="287"/>
        <v>6</v>
      </c>
      <c r="AD190" s="366">
        <f t="shared" si="288"/>
        <v>122</v>
      </c>
      <c r="AE190" s="235">
        <f t="shared" si="289"/>
        <v>1933.3</v>
      </c>
      <c r="AF190" s="710">
        <v>447</v>
      </c>
      <c r="AG190" s="589">
        <v>903</v>
      </c>
      <c r="AH190" s="235">
        <f t="shared" si="290"/>
        <v>102</v>
      </c>
    </row>
    <row r="191" spans="1:34">
      <c r="A191" s="3"/>
      <c r="B191" s="39" t="s">
        <v>50</v>
      </c>
      <c r="C191" s="182">
        <v>472</v>
      </c>
      <c r="D191" s="182">
        <v>589</v>
      </c>
      <c r="E191" s="344">
        <v>682</v>
      </c>
      <c r="F191" s="40">
        <v>873</v>
      </c>
      <c r="G191" s="608">
        <v>879</v>
      </c>
      <c r="H191" s="589">
        <v>66</v>
      </c>
      <c r="I191" s="630">
        <v>76</v>
      </c>
      <c r="J191" s="571">
        <f t="shared" si="274"/>
        <v>15.2</v>
      </c>
      <c r="K191" s="359">
        <f t="shared" si="275"/>
        <v>47</v>
      </c>
      <c r="L191" s="366">
        <f t="shared" si="276"/>
        <v>85</v>
      </c>
      <c r="M191" s="235">
        <f t="shared" si="277"/>
        <v>80.900000000000006</v>
      </c>
      <c r="N191" s="589">
        <v>113</v>
      </c>
      <c r="O191" s="589">
        <v>161</v>
      </c>
      <c r="P191" s="235">
        <f t="shared" si="278"/>
        <v>42.5</v>
      </c>
      <c r="Q191" s="359">
        <f t="shared" si="279"/>
        <v>83</v>
      </c>
      <c r="R191" s="366">
        <f t="shared" si="280"/>
        <v>125</v>
      </c>
      <c r="S191" s="571">
        <f t="shared" si="281"/>
        <v>50.6</v>
      </c>
      <c r="T191" s="710">
        <v>196</v>
      </c>
      <c r="U191" s="589">
        <v>286</v>
      </c>
      <c r="V191" s="235">
        <f t="shared" si="282"/>
        <v>45.9</v>
      </c>
      <c r="W191" s="468">
        <f t="shared" si="283"/>
        <v>77</v>
      </c>
      <c r="X191" s="366">
        <f t="shared" si="284"/>
        <v>84</v>
      </c>
      <c r="Y191" s="235">
        <f t="shared" si="285"/>
        <v>9.1</v>
      </c>
      <c r="Z191" s="719">
        <v>273</v>
      </c>
      <c r="AA191" s="630">
        <v>370</v>
      </c>
      <c r="AB191" s="235">
        <f t="shared" si="286"/>
        <v>35.5</v>
      </c>
      <c r="AC191" s="468">
        <f t="shared" si="287"/>
        <v>87</v>
      </c>
      <c r="AD191" s="366">
        <f t="shared" si="288"/>
        <v>117</v>
      </c>
      <c r="AE191" s="235">
        <f t="shared" si="289"/>
        <v>34.5</v>
      </c>
      <c r="AF191" s="710">
        <v>360</v>
      </c>
      <c r="AG191" s="589">
        <v>487</v>
      </c>
      <c r="AH191" s="235">
        <f t="shared" si="290"/>
        <v>35.299999999999997</v>
      </c>
    </row>
    <row r="192" spans="1:34" s="167" customFormat="1">
      <c r="A192" s="309"/>
      <c r="B192" s="611" t="s">
        <v>45</v>
      </c>
      <c r="C192" s="613">
        <v>710</v>
      </c>
      <c r="D192" s="613">
        <v>644</v>
      </c>
      <c r="E192" s="583">
        <v>663</v>
      </c>
      <c r="F192" s="608">
        <v>689</v>
      </c>
      <c r="G192" s="608">
        <v>609</v>
      </c>
      <c r="H192" s="589">
        <v>44</v>
      </c>
      <c r="I192" s="630">
        <v>106</v>
      </c>
      <c r="J192" s="571">
        <f t="shared" si="274"/>
        <v>140.9</v>
      </c>
      <c r="K192" s="587">
        <f t="shared" si="275"/>
        <v>45</v>
      </c>
      <c r="L192" s="589">
        <f t="shared" si="276"/>
        <v>13</v>
      </c>
      <c r="M192" s="235">
        <f t="shared" si="277"/>
        <v>-71.099999999999994</v>
      </c>
      <c r="N192" s="589">
        <v>89</v>
      </c>
      <c r="O192" s="589">
        <v>119</v>
      </c>
      <c r="P192" s="235">
        <f t="shared" si="278"/>
        <v>33.700000000000003</v>
      </c>
      <c r="Q192" s="587">
        <f t="shared" si="279"/>
        <v>88</v>
      </c>
      <c r="R192" s="589">
        <f t="shared" si="280"/>
        <v>111</v>
      </c>
      <c r="S192" s="571">
        <f t="shared" si="281"/>
        <v>26.1</v>
      </c>
      <c r="T192" s="710">
        <v>177</v>
      </c>
      <c r="U192" s="589">
        <v>230</v>
      </c>
      <c r="V192" s="235">
        <f t="shared" si="282"/>
        <v>29.9</v>
      </c>
      <c r="W192" s="587">
        <f t="shared" si="283"/>
        <v>27</v>
      </c>
      <c r="X192" s="589">
        <f t="shared" si="284"/>
        <v>101</v>
      </c>
      <c r="Y192" s="235">
        <f t="shared" si="285"/>
        <v>274.10000000000002</v>
      </c>
      <c r="Z192" s="719">
        <v>204</v>
      </c>
      <c r="AA192" s="630">
        <v>331</v>
      </c>
      <c r="AB192" s="235">
        <f t="shared" si="286"/>
        <v>62.3</v>
      </c>
      <c r="AC192" s="587">
        <f t="shared" si="287"/>
        <v>0</v>
      </c>
      <c r="AD192" s="589">
        <f t="shared" si="288"/>
        <v>29</v>
      </c>
      <c r="AE192" s="579">
        <v>0</v>
      </c>
      <c r="AF192" s="710">
        <v>204</v>
      </c>
      <c r="AG192" s="589">
        <v>360</v>
      </c>
      <c r="AH192" s="235">
        <f t="shared" si="290"/>
        <v>76.5</v>
      </c>
    </row>
    <row r="193" spans="1:34" s="167" customFormat="1">
      <c r="A193" s="309"/>
      <c r="B193" s="39" t="s">
        <v>53</v>
      </c>
      <c r="C193" s="182">
        <v>2240</v>
      </c>
      <c r="D193" s="182">
        <v>1630</v>
      </c>
      <c r="E193" s="344">
        <v>859</v>
      </c>
      <c r="F193" s="40">
        <v>591</v>
      </c>
      <c r="G193" s="608">
        <v>564</v>
      </c>
      <c r="H193" s="589">
        <v>35</v>
      </c>
      <c r="I193" s="630">
        <v>40</v>
      </c>
      <c r="J193" s="571">
        <f t="shared" si="274"/>
        <v>14.3</v>
      </c>
      <c r="K193" s="359">
        <f t="shared" si="275"/>
        <v>23</v>
      </c>
      <c r="L193" s="366">
        <f t="shared" si="276"/>
        <v>32</v>
      </c>
      <c r="M193" s="235">
        <f t="shared" si="277"/>
        <v>39.1</v>
      </c>
      <c r="N193" s="589">
        <v>58</v>
      </c>
      <c r="O193" s="589">
        <v>72</v>
      </c>
      <c r="P193" s="235">
        <f t="shared" si="278"/>
        <v>24.1</v>
      </c>
      <c r="Q193" s="359">
        <f t="shared" si="279"/>
        <v>67</v>
      </c>
      <c r="R193" s="366">
        <f t="shared" si="280"/>
        <v>48</v>
      </c>
      <c r="S193" s="571">
        <f t="shared" si="281"/>
        <v>-28.4</v>
      </c>
      <c r="T193" s="710">
        <v>125</v>
      </c>
      <c r="U193" s="589">
        <v>120</v>
      </c>
      <c r="V193" s="235">
        <f t="shared" si="282"/>
        <v>-4</v>
      </c>
      <c r="W193" s="468">
        <f t="shared" si="283"/>
        <v>76</v>
      </c>
      <c r="X193" s="366">
        <f t="shared" si="284"/>
        <v>181</v>
      </c>
      <c r="Y193" s="235">
        <f t="shared" si="285"/>
        <v>138.19999999999999</v>
      </c>
      <c r="Z193" s="719">
        <v>201</v>
      </c>
      <c r="AA193" s="630">
        <v>301</v>
      </c>
      <c r="AB193" s="235">
        <f t="shared" si="286"/>
        <v>49.8</v>
      </c>
      <c r="AC193" s="468">
        <f t="shared" si="287"/>
        <v>53</v>
      </c>
      <c r="AD193" s="366">
        <f t="shared" si="288"/>
        <v>135</v>
      </c>
      <c r="AE193" s="235">
        <f t="shared" si="289"/>
        <v>154.69999999999999</v>
      </c>
      <c r="AF193" s="710">
        <v>254</v>
      </c>
      <c r="AG193" s="589">
        <v>436</v>
      </c>
      <c r="AH193" s="235">
        <f t="shared" si="290"/>
        <v>71.7</v>
      </c>
    </row>
    <row r="194" spans="1:34" s="167" customFormat="1">
      <c r="A194" s="309"/>
      <c r="B194" s="610" t="s">
        <v>402</v>
      </c>
      <c r="C194" s="310">
        <v>138</v>
      </c>
      <c r="D194" s="310">
        <v>169</v>
      </c>
      <c r="E194" s="354">
        <v>179</v>
      </c>
      <c r="F194" s="324">
        <v>812</v>
      </c>
      <c r="G194" s="608">
        <v>354</v>
      </c>
      <c r="H194" s="573">
        <v>0</v>
      </c>
      <c r="I194" s="635">
        <v>0</v>
      </c>
      <c r="J194" s="579">
        <v>0</v>
      </c>
      <c r="K194" s="587">
        <f t="shared" ref="K194:K201" si="291">N194-H194</f>
        <v>0</v>
      </c>
      <c r="L194" s="589">
        <f t="shared" ref="L194:L201" si="292">O194-I194</f>
        <v>0</v>
      </c>
      <c r="M194" s="579">
        <v>0</v>
      </c>
      <c r="N194" s="573">
        <v>0</v>
      </c>
      <c r="O194" s="573">
        <v>0</v>
      </c>
      <c r="P194" s="579">
        <v>0</v>
      </c>
      <c r="Q194" s="528">
        <f t="shared" si="279"/>
        <v>0</v>
      </c>
      <c r="R194" s="573">
        <f t="shared" si="280"/>
        <v>0</v>
      </c>
      <c r="S194" s="579">
        <v>0</v>
      </c>
      <c r="T194" s="710">
        <v>0</v>
      </c>
      <c r="U194" s="589">
        <v>0</v>
      </c>
      <c r="V194" s="579">
        <v>0</v>
      </c>
      <c r="W194" s="528">
        <f t="shared" si="283"/>
        <v>0</v>
      </c>
      <c r="X194" s="573">
        <f t="shared" si="284"/>
        <v>0</v>
      </c>
      <c r="Y194" s="579">
        <v>0</v>
      </c>
      <c r="Z194" s="719">
        <v>0</v>
      </c>
      <c r="AA194" s="630">
        <v>0</v>
      </c>
      <c r="AB194" s="579">
        <v>0</v>
      </c>
      <c r="AC194" s="528">
        <f t="shared" si="287"/>
        <v>0</v>
      </c>
      <c r="AD194" s="573">
        <f t="shared" si="288"/>
        <v>0</v>
      </c>
      <c r="AE194" s="579">
        <v>0</v>
      </c>
      <c r="AF194" s="710">
        <v>0</v>
      </c>
      <c r="AG194" s="589">
        <v>0</v>
      </c>
      <c r="AH194" s="579">
        <v>0</v>
      </c>
    </row>
    <row r="195" spans="1:34" s="167" customFormat="1">
      <c r="A195" s="309"/>
      <c r="B195" s="29" t="s">
        <v>48</v>
      </c>
      <c r="C195" s="310">
        <v>277</v>
      </c>
      <c r="D195" s="310">
        <v>189</v>
      </c>
      <c r="E195" s="354">
        <v>228</v>
      </c>
      <c r="F195" s="324">
        <v>153</v>
      </c>
      <c r="G195" s="608">
        <v>100</v>
      </c>
      <c r="H195" s="573">
        <v>1</v>
      </c>
      <c r="I195" s="635">
        <v>1</v>
      </c>
      <c r="J195" s="571">
        <f t="shared" si="274"/>
        <v>0</v>
      </c>
      <c r="K195" s="587">
        <f t="shared" si="291"/>
        <v>18</v>
      </c>
      <c r="L195" s="589">
        <f t="shared" si="292"/>
        <v>10</v>
      </c>
      <c r="M195" s="571">
        <f t="shared" ref="M195:M201" si="293">ROUND(((L195/K195-1)*100), 1)</f>
        <v>-44.4</v>
      </c>
      <c r="N195" s="573">
        <v>19</v>
      </c>
      <c r="O195" s="573">
        <v>11</v>
      </c>
      <c r="P195" s="312">
        <f t="shared" si="278"/>
        <v>-42.1</v>
      </c>
      <c r="Q195" s="311">
        <f t="shared" si="279"/>
        <v>5</v>
      </c>
      <c r="R195" s="364">
        <f t="shared" si="280"/>
        <v>17</v>
      </c>
      <c r="S195" s="571">
        <f t="shared" si="281"/>
        <v>240</v>
      </c>
      <c r="T195" s="710">
        <v>24</v>
      </c>
      <c r="U195" s="589">
        <v>28</v>
      </c>
      <c r="V195" s="312">
        <f t="shared" si="282"/>
        <v>16.7</v>
      </c>
      <c r="W195" s="311">
        <f t="shared" si="283"/>
        <v>1</v>
      </c>
      <c r="X195" s="364">
        <f t="shared" si="284"/>
        <v>6</v>
      </c>
      <c r="Y195" s="312">
        <f t="shared" si="285"/>
        <v>500</v>
      </c>
      <c r="Z195" s="719">
        <v>25</v>
      </c>
      <c r="AA195" s="630">
        <v>34</v>
      </c>
      <c r="AB195" s="312">
        <f t="shared" si="286"/>
        <v>36</v>
      </c>
      <c r="AC195" s="311">
        <f t="shared" si="287"/>
        <v>13</v>
      </c>
      <c r="AD195" s="364">
        <f t="shared" si="288"/>
        <v>1</v>
      </c>
      <c r="AE195" s="312">
        <f t="shared" si="289"/>
        <v>-92.3</v>
      </c>
      <c r="AF195" s="710">
        <v>38</v>
      </c>
      <c r="AG195" s="589">
        <v>35</v>
      </c>
      <c r="AH195" s="312">
        <f t="shared" si="290"/>
        <v>-7.9</v>
      </c>
    </row>
    <row r="196" spans="1:34" s="167" customFormat="1">
      <c r="A196" s="309"/>
      <c r="B196" s="29" t="s">
        <v>52</v>
      </c>
      <c r="C196" s="310">
        <v>79</v>
      </c>
      <c r="D196" s="310">
        <v>20</v>
      </c>
      <c r="E196" s="354">
        <v>58</v>
      </c>
      <c r="F196" s="324">
        <v>85</v>
      </c>
      <c r="G196" s="608">
        <v>97</v>
      </c>
      <c r="H196" s="573">
        <v>15</v>
      </c>
      <c r="I196" s="635">
        <v>1</v>
      </c>
      <c r="J196" s="571">
        <f t="shared" si="274"/>
        <v>-93.3</v>
      </c>
      <c r="K196" s="587">
        <f t="shared" si="291"/>
        <v>5</v>
      </c>
      <c r="L196" s="589">
        <f t="shared" si="292"/>
        <v>0</v>
      </c>
      <c r="M196" s="571">
        <f t="shared" si="293"/>
        <v>-100</v>
      </c>
      <c r="N196" s="573">
        <v>20</v>
      </c>
      <c r="O196" s="573">
        <v>1</v>
      </c>
      <c r="P196" s="312">
        <f t="shared" si="278"/>
        <v>-95</v>
      </c>
      <c r="Q196" s="311">
        <f t="shared" si="279"/>
        <v>1</v>
      </c>
      <c r="R196" s="364">
        <f t="shared" si="280"/>
        <v>0</v>
      </c>
      <c r="S196" s="571">
        <f t="shared" si="281"/>
        <v>-100</v>
      </c>
      <c r="T196" s="710">
        <v>21</v>
      </c>
      <c r="U196" s="589">
        <v>1</v>
      </c>
      <c r="V196" s="312">
        <f t="shared" si="282"/>
        <v>-95.2</v>
      </c>
      <c r="W196" s="311">
        <f t="shared" si="283"/>
        <v>0</v>
      </c>
      <c r="X196" s="364">
        <f t="shared" si="284"/>
        <v>3</v>
      </c>
      <c r="Y196" s="579">
        <v>0</v>
      </c>
      <c r="Z196" s="719">
        <v>21</v>
      </c>
      <c r="AA196" s="630">
        <v>4</v>
      </c>
      <c r="AB196" s="312">
        <f t="shared" si="286"/>
        <v>-81</v>
      </c>
      <c r="AC196" s="311">
        <f t="shared" si="287"/>
        <v>0</v>
      </c>
      <c r="AD196" s="364">
        <f t="shared" si="288"/>
        <v>9</v>
      </c>
      <c r="AE196" s="579">
        <v>0</v>
      </c>
      <c r="AF196" s="710">
        <v>21</v>
      </c>
      <c r="AG196" s="589">
        <v>13</v>
      </c>
      <c r="AH196" s="312">
        <f t="shared" si="290"/>
        <v>-38.1</v>
      </c>
    </row>
    <row r="197" spans="1:34" s="167" customFormat="1">
      <c r="A197" s="309"/>
      <c r="B197" s="29" t="s">
        <v>403</v>
      </c>
      <c r="C197" s="310">
        <v>371</v>
      </c>
      <c r="D197" s="310">
        <v>304</v>
      </c>
      <c r="E197" s="354">
        <v>178</v>
      </c>
      <c r="F197" s="324">
        <v>152</v>
      </c>
      <c r="G197" s="608">
        <v>76</v>
      </c>
      <c r="H197" s="573">
        <v>2</v>
      </c>
      <c r="I197" s="635">
        <v>0</v>
      </c>
      <c r="J197" s="571">
        <f t="shared" si="274"/>
        <v>-100</v>
      </c>
      <c r="K197" s="587">
        <f t="shared" si="291"/>
        <v>10</v>
      </c>
      <c r="L197" s="589">
        <f t="shared" si="292"/>
        <v>0</v>
      </c>
      <c r="M197" s="571">
        <f t="shared" si="293"/>
        <v>-100</v>
      </c>
      <c r="N197" s="573">
        <v>12</v>
      </c>
      <c r="O197" s="573">
        <v>0</v>
      </c>
      <c r="P197" s="312">
        <f t="shared" si="278"/>
        <v>-100</v>
      </c>
      <c r="Q197" s="311">
        <f t="shared" si="279"/>
        <v>10</v>
      </c>
      <c r="R197" s="364">
        <f t="shared" si="280"/>
        <v>0</v>
      </c>
      <c r="S197" s="571">
        <f t="shared" si="281"/>
        <v>-100</v>
      </c>
      <c r="T197" s="710">
        <v>22</v>
      </c>
      <c r="U197" s="589">
        <v>0</v>
      </c>
      <c r="V197" s="312">
        <f t="shared" si="282"/>
        <v>-100</v>
      </c>
      <c r="W197" s="311">
        <f t="shared" si="283"/>
        <v>15</v>
      </c>
      <c r="X197" s="364">
        <f t="shared" si="284"/>
        <v>0</v>
      </c>
      <c r="Y197" s="312">
        <f t="shared" si="285"/>
        <v>-100</v>
      </c>
      <c r="Z197" s="719">
        <v>37</v>
      </c>
      <c r="AA197" s="630">
        <v>0</v>
      </c>
      <c r="AB197" s="312">
        <f t="shared" si="286"/>
        <v>-100</v>
      </c>
      <c r="AC197" s="311">
        <f t="shared" si="287"/>
        <v>0</v>
      </c>
      <c r="AD197" s="364">
        <f t="shared" si="288"/>
        <v>0</v>
      </c>
      <c r="AE197" s="579">
        <v>0</v>
      </c>
      <c r="AF197" s="710">
        <v>37</v>
      </c>
      <c r="AG197" s="589">
        <v>0</v>
      </c>
      <c r="AH197" s="312">
        <f t="shared" si="290"/>
        <v>-100</v>
      </c>
    </row>
    <row r="198" spans="1:34" s="167" customFormat="1">
      <c r="A198" s="309"/>
      <c r="B198" s="29" t="s">
        <v>61</v>
      </c>
      <c r="C198" s="310">
        <v>36</v>
      </c>
      <c r="D198" s="310">
        <v>29</v>
      </c>
      <c r="E198" s="354">
        <v>16</v>
      </c>
      <c r="F198" s="324">
        <v>21</v>
      </c>
      <c r="G198" s="608">
        <v>48</v>
      </c>
      <c r="H198" s="573">
        <v>1</v>
      </c>
      <c r="I198" s="635">
        <v>1</v>
      </c>
      <c r="J198" s="571">
        <f t="shared" si="274"/>
        <v>0</v>
      </c>
      <c r="K198" s="587">
        <f t="shared" si="291"/>
        <v>1</v>
      </c>
      <c r="L198" s="589">
        <f t="shared" si="292"/>
        <v>12</v>
      </c>
      <c r="M198" s="571">
        <f t="shared" si="293"/>
        <v>1100</v>
      </c>
      <c r="N198" s="573">
        <v>2</v>
      </c>
      <c r="O198" s="573">
        <v>13</v>
      </c>
      <c r="P198" s="571">
        <f t="shared" si="278"/>
        <v>550</v>
      </c>
      <c r="Q198" s="311">
        <f t="shared" si="279"/>
        <v>1</v>
      </c>
      <c r="R198" s="364">
        <f t="shared" si="280"/>
        <v>23</v>
      </c>
      <c r="S198" s="571">
        <f t="shared" si="281"/>
        <v>2200</v>
      </c>
      <c r="T198" s="710">
        <v>3</v>
      </c>
      <c r="U198" s="589">
        <v>36</v>
      </c>
      <c r="V198" s="571">
        <f t="shared" si="282"/>
        <v>1100</v>
      </c>
      <c r="W198" s="311">
        <f t="shared" si="283"/>
        <v>10</v>
      </c>
      <c r="X198" s="364">
        <f t="shared" si="284"/>
        <v>15</v>
      </c>
      <c r="Y198" s="571">
        <f t="shared" si="285"/>
        <v>50</v>
      </c>
      <c r="Z198" s="719">
        <v>13</v>
      </c>
      <c r="AA198" s="630">
        <v>51</v>
      </c>
      <c r="AB198" s="571">
        <f t="shared" si="286"/>
        <v>292.3</v>
      </c>
      <c r="AC198" s="311">
        <f t="shared" si="287"/>
        <v>0</v>
      </c>
      <c r="AD198" s="364">
        <f t="shared" si="288"/>
        <v>2</v>
      </c>
      <c r="AE198" s="579">
        <v>0</v>
      </c>
      <c r="AF198" s="710">
        <v>13</v>
      </c>
      <c r="AG198" s="589">
        <v>53</v>
      </c>
      <c r="AH198" s="571">
        <f t="shared" si="290"/>
        <v>307.7</v>
      </c>
    </row>
    <row r="199" spans="1:34" s="167" customFormat="1">
      <c r="A199" s="309"/>
      <c r="B199" s="29" t="s">
        <v>51</v>
      </c>
      <c r="C199" s="310">
        <v>216</v>
      </c>
      <c r="D199" s="310">
        <v>270</v>
      </c>
      <c r="E199" s="354">
        <v>105</v>
      </c>
      <c r="F199" s="324">
        <v>118</v>
      </c>
      <c r="G199" s="608">
        <v>47</v>
      </c>
      <c r="H199" s="573">
        <v>0</v>
      </c>
      <c r="I199" s="635">
        <v>22</v>
      </c>
      <c r="J199" s="579">
        <v>0</v>
      </c>
      <c r="K199" s="587">
        <f t="shared" si="291"/>
        <v>7</v>
      </c>
      <c r="L199" s="589">
        <f t="shared" si="292"/>
        <v>7</v>
      </c>
      <c r="M199" s="571">
        <f t="shared" si="293"/>
        <v>0</v>
      </c>
      <c r="N199" s="573">
        <v>7</v>
      </c>
      <c r="O199" s="573">
        <v>29</v>
      </c>
      <c r="P199" s="572">
        <f t="shared" si="278"/>
        <v>314.3</v>
      </c>
      <c r="Q199" s="311">
        <f t="shared" si="279"/>
        <v>15</v>
      </c>
      <c r="R199" s="364">
        <f t="shared" si="280"/>
        <v>4</v>
      </c>
      <c r="S199" s="571">
        <f t="shared" si="281"/>
        <v>-73.3</v>
      </c>
      <c r="T199" s="710">
        <v>22</v>
      </c>
      <c r="U199" s="589">
        <v>33</v>
      </c>
      <c r="V199" s="572">
        <f t="shared" si="282"/>
        <v>50</v>
      </c>
      <c r="W199" s="311">
        <f t="shared" si="283"/>
        <v>0</v>
      </c>
      <c r="X199" s="364">
        <f t="shared" si="284"/>
        <v>9</v>
      </c>
      <c r="Y199" s="579">
        <v>0</v>
      </c>
      <c r="Z199" s="719">
        <v>22</v>
      </c>
      <c r="AA199" s="630">
        <v>42</v>
      </c>
      <c r="AB199" s="572">
        <f t="shared" si="286"/>
        <v>90.9</v>
      </c>
      <c r="AC199" s="311">
        <f t="shared" si="287"/>
        <v>0</v>
      </c>
      <c r="AD199" s="364">
        <f t="shared" si="288"/>
        <v>10</v>
      </c>
      <c r="AE199" s="579">
        <v>0</v>
      </c>
      <c r="AF199" s="710">
        <v>22</v>
      </c>
      <c r="AG199" s="589">
        <v>52</v>
      </c>
      <c r="AH199" s="572">
        <f t="shared" si="290"/>
        <v>136.4</v>
      </c>
    </row>
    <row r="200" spans="1:34" s="167" customFormat="1">
      <c r="A200" s="309"/>
      <c r="B200" s="29" t="s">
        <v>390</v>
      </c>
      <c r="C200" s="310">
        <v>4</v>
      </c>
      <c r="D200" s="310">
        <v>1</v>
      </c>
      <c r="E200" s="354">
        <v>5</v>
      </c>
      <c r="F200" s="324">
        <v>3</v>
      </c>
      <c r="G200" s="608">
        <v>5</v>
      </c>
      <c r="H200" s="573">
        <v>1</v>
      </c>
      <c r="I200" s="635">
        <v>2</v>
      </c>
      <c r="J200" s="571">
        <f t="shared" si="274"/>
        <v>100</v>
      </c>
      <c r="K200" s="587">
        <f t="shared" si="291"/>
        <v>0</v>
      </c>
      <c r="L200" s="589">
        <f t="shared" si="292"/>
        <v>1</v>
      </c>
      <c r="M200" s="579">
        <v>0</v>
      </c>
      <c r="N200" s="573">
        <v>1</v>
      </c>
      <c r="O200" s="573">
        <v>3</v>
      </c>
      <c r="P200" s="572">
        <f t="shared" si="278"/>
        <v>200</v>
      </c>
      <c r="Q200" s="311">
        <f t="shared" si="279"/>
        <v>1</v>
      </c>
      <c r="R200" s="364">
        <f t="shared" si="280"/>
        <v>0</v>
      </c>
      <c r="S200" s="571">
        <f t="shared" si="281"/>
        <v>-100</v>
      </c>
      <c r="T200" s="710">
        <v>2</v>
      </c>
      <c r="U200" s="589">
        <v>3</v>
      </c>
      <c r="V200" s="572">
        <f t="shared" si="282"/>
        <v>50</v>
      </c>
      <c r="W200" s="311">
        <f t="shared" si="283"/>
        <v>0</v>
      </c>
      <c r="X200" s="364">
        <f t="shared" si="284"/>
        <v>4</v>
      </c>
      <c r="Y200" s="462">
        <v>0</v>
      </c>
      <c r="Z200" s="719">
        <v>2</v>
      </c>
      <c r="AA200" s="630">
        <v>7</v>
      </c>
      <c r="AB200" s="572">
        <f t="shared" si="286"/>
        <v>250</v>
      </c>
      <c r="AC200" s="311">
        <f t="shared" si="287"/>
        <v>0</v>
      </c>
      <c r="AD200" s="364">
        <f t="shared" si="288"/>
        <v>3</v>
      </c>
      <c r="AE200" s="579">
        <v>0</v>
      </c>
      <c r="AF200" s="710">
        <v>2</v>
      </c>
      <c r="AG200" s="589">
        <v>10</v>
      </c>
      <c r="AH200" s="572">
        <f t="shared" si="290"/>
        <v>400</v>
      </c>
    </row>
    <row r="201" spans="1:34" s="167" customFormat="1">
      <c r="A201" s="309"/>
      <c r="B201" s="29" t="s">
        <v>70</v>
      </c>
      <c r="C201" s="310">
        <v>311</v>
      </c>
      <c r="D201" s="310">
        <v>223</v>
      </c>
      <c r="E201" s="354">
        <v>118</v>
      </c>
      <c r="F201" s="324">
        <v>3</v>
      </c>
      <c r="G201" s="608">
        <v>2</v>
      </c>
      <c r="H201" s="573">
        <v>0</v>
      </c>
      <c r="I201" s="635">
        <v>1</v>
      </c>
      <c r="J201" s="579">
        <v>0</v>
      </c>
      <c r="K201" s="587">
        <f t="shared" si="291"/>
        <v>1</v>
      </c>
      <c r="L201" s="589">
        <f t="shared" si="292"/>
        <v>0</v>
      </c>
      <c r="M201" s="571">
        <f t="shared" si="293"/>
        <v>-100</v>
      </c>
      <c r="N201" s="573">
        <v>1</v>
      </c>
      <c r="O201" s="573">
        <v>1</v>
      </c>
      <c r="P201" s="572">
        <f>ROUND(((O201/N201-1)*100), 1)</f>
        <v>0</v>
      </c>
      <c r="Q201" s="311">
        <f t="shared" si="279"/>
        <v>0</v>
      </c>
      <c r="R201" s="364">
        <f t="shared" si="280"/>
        <v>0</v>
      </c>
      <c r="S201" s="171">
        <v>0</v>
      </c>
      <c r="T201" s="710">
        <v>1</v>
      </c>
      <c r="U201" s="589">
        <v>1</v>
      </c>
      <c r="V201" s="572">
        <f t="shared" si="282"/>
        <v>0</v>
      </c>
      <c r="W201" s="311">
        <f t="shared" si="283"/>
        <v>0</v>
      </c>
      <c r="X201" s="364">
        <f t="shared" si="284"/>
        <v>1</v>
      </c>
      <c r="Y201" s="462">
        <v>0</v>
      </c>
      <c r="Z201" s="719">
        <v>1</v>
      </c>
      <c r="AA201" s="630">
        <v>2</v>
      </c>
      <c r="AB201" s="572">
        <f>ROUND(((AA201/Z201-1)*100), 1)</f>
        <v>100</v>
      </c>
      <c r="AC201" s="311">
        <f t="shared" si="287"/>
        <v>0</v>
      </c>
      <c r="AD201" s="364">
        <f t="shared" si="288"/>
        <v>0</v>
      </c>
      <c r="AE201" s="579">
        <v>0</v>
      </c>
      <c r="AF201" s="710">
        <v>1</v>
      </c>
      <c r="AG201" s="589">
        <v>2</v>
      </c>
      <c r="AH201" s="572">
        <f>ROUND(((AG201/AF201-1)*100), 1)</f>
        <v>100</v>
      </c>
    </row>
    <row r="202" spans="1:34" s="167" customFormat="1">
      <c r="A202" s="309"/>
      <c r="B202" s="29" t="s">
        <v>64</v>
      </c>
      <c r="C202" s="310">
        <v>2</v>
      </c>
      <c r="D202" s="310">
        <v>4</v>
      </c>
      <c r="E202" s="354">
        <v>5</v>
      </c>
      <c r="F202" s="324">
        <v>2</v>
      </c>
      <c r="G202" s="608">
        <v>1</v>
      </c>
      <c r="H202" s="573">
        <v>1</v>
      </c>
      <c r="I202" s="635">
        <v>0</v>
      </c>
      <c r="J202" s="571">
        <f t="shared" si="274"/>
        <v>-100</v>
      </c>
      <c r="K202" s="311">
        <f t="shared" si="275"/>
        <v>0</v>
      </c>
      <c r="L202" s="364">
        <f t="shared" si="276"/>
        <v>0</v>
      </c>
      <c r="M202" s="171">
        <v>0</v>
      </c>
      <c r="N202" s="573">
        <v>1</v>
      </c>
      <c r="O202" s="573">
        <v>0</v>
      </c>
      <c r="P202" s="572">
        <f t="shared" si="278"/>
        <v>-100</v>
      </c>
      <c r="Q202" s="311">
        <f t="shared" si="279"/>
        <v>0</v>
      </c>
      <c r="R202" s="364">
        <f t="shared" si="280"/>
        <v>0</v>
      </c>
      <c r="S202" s="171">
        <v>0</v>
      </c>
      <c r="T202" s="710">
        <v>1</v>
      </c>
      <c r="U202" s="589">
        <v>0</v>
      </c>
      <c r="V202" s="171">
        <v>0</v>
      </c>
      <c r="W202" s="311">
        <f t="shared" si="283"/>
        <v>0</v>
      </c>
      <c r="X202" s="364">
        <f t="shared" si="284"/>
        <v>1</v>
      </c>
      <c r="Y202" s="462">
        <v>0</v>
      </c>
      <c r="Z202" s="719">
        <v>1</v>
      </c>
      <c r="AA202" s="630">
        <v>1</v>
      </c>
      <c r="AB202" s="572">
        <f t="shared" si="286"/>
        <v>0</v>
      </c>
      <c r="AC202" s="311">
        <f t="shared" si="287"/>
        <v>0</v>
      </c>
      <c r="AD202" s="364">
        <f t="shared" si="288"/>
        <v>0</v>
      </c>
      <c r="AE202" s="579">
        <v>0</v>
      </c>
      <c r="AF202" s="710">
        <v>1</v>
      </c>
      <c r="AG202" s="589">
        <v>1</v>
      </c>
      <c r="AH202" s="235">
        <f>ROUND(((AG202/AF202-1)*100), 1)</f>
        <v>0</v>
      </c>
    </row>
    <row r="203" spans="1:34" s="167" customFormat="1">
      <c r="A203" s="309"/>
      <c r="B203" s="29" t="s">
        <v>68</v>
      </c>
      <c r="C203" s="310">
        <v>753</v>
      </c>
      <c r="D203" s="310">
        <v>503</v>
      </c>
      <c r="E203" s="354">
        <v>99</v>
      </c>
      <c r="F203" s="324">
        <v>0</v>
      </c>
      <c r="G203" s="608">
        <v>1</v>
      </c>
      <c r="H203" s="573">
        <v>0</v>
      </c>
      <c r="I203" s="635">
        <v>0</v>
      </c>
      <c r="J203" s="579">
        <v>0</v>
      </c>
      <c r="K203" s="311">
        <f t="shared" si="275"/>
        <v>0</v>
      </c>
      <c r="L203" s="364">
        <f t="shared" si="276"/>
        <v>0</v>
      </c>
      <c r="M203" s="171">
        <v>0</v>
      </c>
      <c r="N203" s="573">
        <v>0</v>
      </c>
      <c r="O203" s="573">
        <v>0</v>
      </c>
      <c r="P203" s="171">
        <v>0</v>
      </c>
      <c r="Q203" s="311">
        <f t="shared" si="279"/>
        <v>0</v>
      </c>
      <c r="R203" s="364">
        <f t="shared" si="280"/>
        <v>0</v>
      </c>
      <c r="S203" s="171">
        <v>0</v>
      </c>
      <c r="T203" s="710">
        <v>0</v>
      </c>
      <c r="U203" s="589">
        <v>0</v>
      </c>
      <c r="V203" s="171">
        <v>0</v>
      </c>
      <c r="W203" s="311">
        <f t="shared" si="283"/>
        <v>0</v>
      </c>
      <c r="X203" s="364">
        <f t="shared" si="284"/>
        <v>0</v>
      </c>
      <c r="Y203" s="462">
        <v>0</v>
      </c>
      <c r="Z203" s="719">
        <v>0</v>
      </c>
      <c r="AA203" s="630">
        <v>0</v>
      </c>
      <c r="AB203" s="462">
        <v>0</v>
      </c>
      <c r="AC203" s="311">
        <f t="shared" si="287"/>
        <v>0</v>
      </c>
      <c r="AD203" s="364">
        <f t="shared" si="288"/>
        <v>0</v>
      </c>
      <c r="AE203" s="462">
        <v>0</v>
      </c>
      <c r="AF203" s="710">
        <v>0</v>
      </c>
      <c r="AG203" s="589">
        <v>0</v>
      </c>
      <c r="AH203" s="462">
        <v>0</v>
      </c>
    </row>
    <row r="204" spans="1:34" s="167" customFormat="1">
      <c r="A204" s="309"/>
      <c r="B204" s="29" t="s">
        <v>18</v>
      </c>
      <c r="C204" s="310">
        <f t="shared" ref="C204:F204" si="294">C205-SUM(C184:C203)</f>
        <v>25</v>
      </c>
      <c r="D204" s="310">
        <f t="shared" si="294"/>
        <v>32</v>
      </c>
      <c r="E204" s="354">
        <f t="shared" si="294"/>
        <v>29</v>
      </c>
      <c r="F204" s="324">
        <f t="shared" si="294"/>
        <v>18</v>
      </c>
      <c r="G204" s="324">
        <f>G205-SUM(G184:G203)</f>
        <v>127</v>
      </c>
      <c r="H204" s="573">
        <f t="shared" ref="H204" si="295">H205-SUM(H184:H203)</f>
        <v>66</v>
      </c>
      <c r="I204" s="635">
        <f t="shared" ref="I204" si="296">I205-SUM(I184:I203)</f>
        <v>5</v>
      </c>
      <c r="J204" s="525">
        <f t="shared" si="274"/>
        <v>-92.4</v>
      </c>
      <c r="K204" s="311">
        <f>K205-SUM(K184:K203)</f>
        <v>5</v>
      </c>
      <c r="L204" s="364">
        <f>L205-SUM(L184:L203)</f>
        <v>0</v>
      </c>
      <c r="M204" s="235">
        <f>ROUND(((L204/K204-1)*100), 1)</f>
        <v>-100</v>
      </c>
      <c r="N204" s="573">
        <f>N205-SUM(N184:N203)</f>
        <v>71</v>
      </c>
      <c r="O204" s="573">
        <f t="shared" ref="O204" si="297">O205-SUM(O184:O203)</f>
        <v>5</v>
      </c>
      <c r="P204" s="235">
        <f>ROUND(((O204/N204-1)*100), 1)</f>
        <v>-93</v>
      </c>
      <c r="Q204" s="311">
        <f>Q205-SUM(Q184:Q203)</f>
        <v>18</v>
      </c>
      <c r="R204" s="364">
        <f>R205-SUM(R184:R203)</f>
        <v>4</v>
      </c>
      <c r="S204" s="235">
        <f>ROUND(((R204/Q204-1)*100), 1)</f>
        <v>-77.8</v>
      </c>
      <c r="T204" s="573">
        <f>T205-SUM(T184:T203)</f>
        <v>89</v>
      </c>
      <c r="U204" s="573">
        <f t="shared" ref="U204" si="298">U205-SUM(U184:U203)</f>
        <v>9</v>
      </c>
      <c r="V204" s="235">
        <f>ROUND(((U204/T204-1)*100), 1)</f>
        <v>-89.9</v>
      </c>
      <c r="W204" s="311">
        <f>W205-SUM(W184:W203)</f>
        <v>14</v>
      </c>
      <c r="X204" s="364">
        <f>X205-SUM(X184:X203)</f>
        <v>12</v>
      </c>
      <c r="Y204" s="235">
        <f>ROUND(((X204/W204-1)*100), 1)</f>
        <v>-14.3</v>
      </c>
      <c r="Z204" s="635">
        <f>Z205-SUM(Z184:Z203)</f>
        <v>103</v>
      </c>
      <c r="AA204" s="635">
        <f t="shared" ref="AA204" si="299">AA205-SUM(AA184:AA203)</f>
        <v>21</v>
      </c>
      <c r="AB204" s="235">
        <f>ROUND(((AA204/Z204-1)*100), 1)</f>
        <v>-79.599999999999994</v>
      </c>
      <c r="AC204" s="311">
        <f>AC205-SUM(AC184:AC203)</f>
        <v>2</v>
      </c>
      <c r="AD204" s="364">
        <f>AD205-SUM(AD184:AD203)</f>
        <v>1</v>
      </c>
      <c r="AE204" s="571">
        <f>ROUND(((AD204/AC204-1)*100), 1)</f>
        <v>-50</v>
      </c>
      <c r="AF204" s="573">
        <f>AF205-SUM(AF184:AF203)</f>
        <v>105</v>
      </c>
      <c r="AG204" s="573">
        <f t="shared" ref="AG204" si="300">AG205-SUM(AG184:AG203)</f>
        <v>22</v>
      </c>
      <c r="AH204" s="235">
        <f>ROUND(((AG204/AF204-1)*100), 1)</f>
        <v>-79</v>
      </c>
    </row>
    <row r="205" spans="1:34" s="167" customFormat="1">
      <c r="A205" s="309"/>
      <c r="B205" s="313" t="s">
        <v>101</v>
      </c>
      <c r="C205" s="356">
        <v>29624</v>
      </c>
      <c r="D205" s="356">
        <v>32581</v>
      </c>
      <c r="E205" s="355">
        <v>34731</v>
      </c>
      <c r="F205" s="423">
        <v>34761</v>
      </c>
      <c r="G205" s="423">
        <v>41205</v>
      </c>
      <c r="H205" s="239">
        <v>2265</v>
      </c>
      <c r="I205" s="636">
        <v>4234</v>
      </c>
      <c r="J205" s="314">
        <f t="shared" ref="J205" si="301">ROUND(((I205/H205-1)*100), 1)</f>
        <v>86.9</v>
      </c>
      <c r="K205" s="377">
        <f t="shared" ref="K205" si="302">N205-H205</f>
        <v>2409</v>
      </c>
      <c r="L205" s="239">
        <f t="shared" ref="L205" si="303">O205-I205</f>
        <v>3623</v>
      </c>
      <c r="M205" s="314">
        <f t="shared" ref="M205" si="304">ROUND(((L205/K205-1)*100), 1)</f>
        <v>50.4</v>
      </c>
      <c r="N205" s="239">
        <v>4674</v>
      </c>
      <c r="O205" s="239">
        <v>7857</v>
      </c>
      <c r="P205" s="314">
        <f t="shared" ref="P205" si="305">ROUND(((O205/N205-1)*100), 1)</f>
        <v>68.099999999999994</v>
      </c>
      <c r="Q205" s="377">
        <f t="shared" ref="Q205" si="306">T205-N205</f>
        <v>3371</v>
      </c>
      <c r="R205" s="239">
        <f t="shared" ref="R205" si="307">U205-O205</f>
        <v>4341</v>
      </c>
      <c r="S205" s="314">
        <f t="shared" ref="S205" si="308">ROUND(((R205/Q205-1)*100), 1)</f>
        <v>28.8</v>
      </c>
      <c r="T205" s="239">
        <v>8045</v>
      </c>
      <c r="U205" s="239">
        <v>12198</v>
      </c>
      <c r="V205" s="314">
        <f t="shared" ref="V205" si="309">ROUND(((U205/T205-1)*100), 1)</f>
        <v>51.6</v>
      </c>
      <c r="W205" s="377">
        <f t="shared" ref="W205" si="310">Z205-T205</f>
        <v>3202</v>
      </c>
      <c r="X205" s="239">
        <f t="shared" ref="X205" si="311">AA205-U205</f>
        <v>4293</v>
      </c>
      <c r="Y205" s="314">
        <f t="shared" ref="Y205" si="312">ROUND(((X205/W205-1)*100), 1)</f>
        <v>34.1</v>
      </c>
      <c r="Z205" s="636">
        <v>11247</v>
      </c>
      <c r="AA205" s="636">
        <v>16491</v>
      </c>
      <c r="AB205" s="314">
        <f t="shared" ref="AB205" si="313">ROUND(((AA205/Z205-1)*100), 1)</f>
        <v>46.6</v>
      </c>
      <c r="AC205" s="377">
        <f t="shared" ref="AC205:AD205" si="314">AF205-Z205</f>
        <v>2721</v>
      </c>
      <c r="AD205" s="239">
        <f t="shared" si="314"/>
        <v>4412</v>
      </c>
      <c r="AE205" s="314">
        <f t="shared" ref="AE205" si="315">ROUND(((AD205/AC205-1)*100), 1)</f>
        <v>62.1</v>
      </c>
      <c r="AF205" s="239">
        <v>13968</v>
      </c>
      <c r="AG205" s="239">
        <v>20903</v>
      </c>
      <c r="AH205" s="314">
        <f t="shared" ref="AH205" si="316">ROUND(((AG205/AF205-1)*100), 1)</f>
        <v>49.6</v>
      </c>
    </row>
    <row r="206" spans="1:34" s="167" customFormat="1">
      <c r="A206" s="315"/>
      <c r="B206" s="316" t="s">
        <v>43</v>
      </c>
      <c r="C206" s="317">
        <v>39348</v>
      </c>
      <c r="D206" s="317">
        <v>37916</v>
      </c>
      <c r="E206" s="351">
        <v>39751</v>
      </c>
      <c r="F206" s="424">
        <v>41282</v>
      </c>
      <c r="G206" s="424">
        <v>41175</v>
      </c>
      <c r="H206" s="319">
        <v>3705</v>
      </c>
      <c r="I206" s="637">
        <v>3435</v>
      </c>
      <c r="J206" s="320">
        <f t="shared" ref="J206:J216" si="317">ROUND(((I206/H206-1)*100), 1)</f>
        <v>-7.3</v>
      </c>
      <c r="K206" s="318">
        <f t="shared" ref="K206:K216" si="318">N206-H206</f>
        <v>2055</v>
      </c>
      <c r="L206" s="319">
        <f t="shared" ref="L206:L216" si="319">O206-I206</f>
        <v>2791</v>
      </c>
      <c r="M206" s="320">
        <f t="shared" ref="M206:M215" si="320">ROUND(((L206/K206-1)*100), 1)</f>
        <v>35.799999999999997</v>
      </c>
      <c r="N206" s="319">
        <v>5760</v>
      </c>
      <c r="O206" s="319">
        <v>6226</v>
      </c>
      <c r="P206" s="320">
        <f t="shared" ref="P206:P215" si="321">ROUND(((O206/N206-1)*100), 1)</f>
        <v>8.1</v>
      </c>
      <c r="Q206" s="318">
        <f t="shared" ref="Q206:Q210" si="322">T206-N206</f>
        <v>5111</v>
      </c>
      <c r="R206" s="319">
        <f t="shared" ref="R206:R210" si="323">U206-O206</f>
        <v>4466</v>
      </c>
      <c r="S206" s="320">
        <f t="shared" ref="S206:S210" si="324">ROUND(((R206/Q206-1)*100), 1)</f>
        <v>-12.6</v>
      </c>
      <c r="T206" s="711">
        <v>10871</v>
      </c>
      <c r="U206" s="319">
        <v>10692</v>
      </c>
      <c r="V206" s="320">
        <f t="shared" ref="V206:V217" si="325">ROUND(((U206/T206-1)*100), 1)</f>
        <v>-1.6</v>
      </c>
      <c r="W206" s="318">
        <f t="shared" ref="W206:W216" si="326">Z206-T206</f>
        <v>3627</v>
      </c>
      <c r="X206" s="319">
        <f t="shared" ref="X206:X216" si="327">AA206-U206</f>
        <v>4275</v>
      </c>
      <c r="Y206" s="320">
        <f t="shared" ref="Y206:Y214" si="328">ROUND(((X206/W206-1)*100), 1)</f>
        <v>17.899999999999999</v>
      </c>
      <c r="Z206" s="720">
        <v>14498</v>
      </c>
      <c r="AA206" s="637">
        <v>14967</v>
      </c>
      <c r="AB206" s="320">
        <f t="shared" ref="AB206:AB217" si="329">ROUND(((AA206/Z206-1)*100), 1)</f>
        <v>3.2</v>
      </c>
      <c r="AC206" s="318">
        <f t="shared" ref="AC206:AC210" si="330">AF206-Z206</f>
        <v>1858</v>
      </c>
      <c r="AD206" s="319">
        <f t="shared" ref="AD206:AD210" si="331">AG206-AA206</f>
        <v>3614</v>
      </c>
      <c r="AE206" s="320">
        <f t="shared" ref="AE206:AE210" si="332">ROUND(((AD206/AC206-1)*100), 1)</f>
        <v>94.5</v>
      </c>
      <c r="AF206" s="711">
        <v>16356</v>
      </c>
      <c r="AG206" s="319">
        <v>18581</v>
      </c>
      <c r="AH206" s="320">
        <f t="shared" ref="AH206:AH217" si="333">ROUND(((AG206/AF206-1)*100), 1)</f>
        <v>13.6</v>
      </c>
    </row>
    <row r="207" spans="1:34">
      <c r="A207" s="3" t="s">
        <v>103</v>
      </c>
      <c r="B207" s="39" t="s">
        <v>50</v>
      </c>
      <c r="C207" s="182">
        <v>15422</v>
      </c>
      <c r="D207" s="182">
        <v>16510</v>
      </c>
      <c r="E207" s="344">
        <v>15433</v>
      </c>
      <c r="F207" s="40">
        <v>12503</v>
      </c>
      <c r="G207" s="324">
        <v>11628</v>
      </c>
      <c r="H207" s="589">
        <v>951</v>
      </c>
      <c r="I207" s="630">
        <v>929</v>
      </c>
      <c r="J207" s="226">
        <f t="shared" si="317"/>
        <v>-2.2999999999999998</v>
      </c>
      <c r="K207" s="359">
        <f t="shared" si="318"/>
        <v>1017</v>
      </c>
      <c r="L207" s="366">
        <f t="shared" si="319"/>
        <v>969</v>
      </c>
      <c r="M207" s="235">
        <f t="shared" si="320"/>
        <v>-4.7</v>
      </c>
      <c r="N207" s="589">
        <v>1968</v>
      </c>
      <c r="O207" s="589">
        <v>1898</v>
      </c>
      <c r="P207" s="235">
        <f t="shared" si="321"/>
        <v>-3.6</v>
      </c>
      <c r="Q207" s="359">
        <f t="shared" si="322"/>
        <v>1041</v>
      </c>
      <c r="R207" s="366">
        <f t="shared" si="323"/>
        <v>1219</v>
      </c>
      <c r="S207" s="235">
        <f t="shared" si="324"/>
        <v>17.100000000000001</v>
      </c>
      <c r="T207" s="712">
        <v>3009</v>
      </c>
      <c r="U207" s="573">
        <v>3117</v>
      </c>
      <c r="V207" s="235">
        <f t="shared" si="325"/>
        <v>3.6</v>
      </c>
      <c r="W207" s="468">
        <f t="shared" si="326"/>
        <v>1044</v>
      </c>
      <c r="X207" s="366">
        <f t="shared" si="327"/>
        <v>1168</v>
      </c>
      <c r="Y207" s="235">
        <f t="shared" si="328"/>
        <v>11.9</v>
      </c>
      <c r="Z207" s="721">
        <v>4053</v>
      </c>
      <c r="AA207" s="635">
        <v>4285</v>
      </c>
      <c r="AB207" s="235">
        <f t="shared" si="329"/>
        <v>5.7</v>
      </c>
      <c r="AC207" s="468">
        <f t="shared" si="330"/>
        <v>687</v>
      </c>
      <c r="AD207" s="366">
        <f t="shared" si="331"/>
        <v>999</v>
      </c>
      <c r="AE207" s="235">
        <f t="shared" si="332"/>
        <v>45.4</v>
      </c>
      <c r="AF207" s="712">
        <v>4740</v>
      </c>
      <c r="AG207" s="573">
        <v>5284</v>
      </c>
      <c r="AH207" s="235">
        <f t="shared" si="333"/>
        <v>11.5</v>
      </c>
    </row>
    <row r="208" spans="1:34">
      <c r="A208" s="3"/>
      <c r="B208" s="39" t="s">
        <v>47</v>
      </c>
      <c r="C208" s="182">
        <v>5900</v>
      </c>
      <c r="D208" s="182">
        <v>6624</v>
      </c>
      <c r="E208" s="344">
        <v>6203</v>
      </c>
      <c r="F208" s="40">
        <v>5898</v>
      </c>
      <c r="G208" s="324">
        <v>6483</v>
      </c>
      <c r="H208" s="589">
        <v>387</v>
      </c>
      <c r="I208" s="630">
        <v>537</v>
      </c>
      <c r="J208" s="226">
        <f t="shared" si="317"/>
        <v>38.799999999999997</v>
      </c>
      <c r="K208" s="359">
        <f t="shared" si="318"/>
        <v>449</v>
      </c>
      <c r="L208" s="366">
        <f t="shared" si="319"/>
        <v>597</v>
      </c>
      <c r="M208" s="235">
        <f t="shared" si="320"/>
        <v>33</v>
      </c>
      <c r="N208" s="589">
        <v>836</v>
      </c>
      <c r="O208" s="589">
        <v>1134</v>
      </c>
      <c r="P208" s="235">
        <f t="shared" si="321"/>
        <v>35.6</v>
      </c>
      <c r="Q208" s="359">
        <f t="shared" si="322"/>
        <v>578</v>
      </c>
      <c r="R208" s="366">
        <f t="shared" si="323"/>
        <v>691</v>
      </c>
      <c r="S208" s="235">
        <f t="shared" si="324"/>
        <v>19.600000000000001</v>
      </c>
      <c r="T208" s="712">
        <v>1414</v>
      </c>
      <c r="U208" s="573">
        <v>1825</v>
      </c>
      <c r="V208" s="235">
        <f t="shared" si="325"/>
        <v>29.1</v>
      </c>
      <c r="W208" s="468">
        <f t="shared" si="326"/>
        <v>629</v>
      </c>
      <c r="X208" s="366">
        <f t="shared" si="327"/>
        <v>686</v>
      </c>
      <c r="Y208" s="235">
        <f t="shared" si="328"/>
        <v>9.1</v>
      </c>
      <c r="Z208" s="721">
        <v>2043</v>
      </c>
      <c r="AA208" s="635">
        <v>2511</v>
      </c>
      <c r="AB208" s="235">
        <f t="shared" si="329"/>
        <v>22.9</v>
      </c>
      <c r="AC208" s="468">
        <f t="shared" si="330"/>
        <v>509</v>
      </c>
      <c r="AD208" s="366">
        <f t="shared" si="331"/>
        <v>643</v>
      </c>
      <c r="AE208" s="235">
        <f t="shared" si="332"/>
        <v>26.3</v>
      </c>
      <c r="AF208" s="712">
        <v>2552</v>
      </c>
      <c r="AG208" s="573">
        <v>3154</v>
      </c>
      <c r="AH208" s="235">
        <f t="shared" si="333"/>
        <v>23.6</v>
      </c>
    </row>
    <row r="209" spans="1:34">
      <c r="A209" s="3"/>
      <c r="B209" s="39" t="s">
        <v>49</v>
      </c>
      <c r="C209" s="182">
        <v>1239</v>
      </c>
      <c r="D209" s="182">
        <v>1872</v>
      </c>
      <c r="E209" s="344">
        <v>1769</v>
      </c>
      <c r="F209" s="40">
        <v>3560</v>
      </c>
      <c r="G209" s="324">
        <v>6049</v>
      </c>
      <c r="H209" s="589">
        <v>576</v>
      </c>
      <c r="I209" s="630">
        <v>398</v>
      </c>
      <c r="J209" s="226">
        <f t="shared" si="317"/>
        <v>-30.9</v>
      </c>
      <c r="K209" s="359">
        <f t="shared" si="318"/>
        <v>281</v>
      </c>
      <c r="L209" s="366">
        <f t="shared" si="319"/>
        <v>362</v>
      </c>
      <c r="M209" s="235">
        <f t="shared" si="320"/>
        <v>28.8</v>
      </c>
      <c r="N209" s="589">
        <v>857</v>
      </c>
      <c r="O209" s="589">
        <v>760</v>
      </c>
      <c r="P209" s="235">
        <f t="shared" si="321"/>
        <v>-11.3</v>
      </c>
      <c r="Q209" s="359">
        <f t="shared" si="322"/>
        <v>570</v>
      </c>
      <c r="R209" s="366">
        <f t="shared" si="323"/>
        <v>852</v>
      </c>
      <c r="S209" s="235">
        <f t="shared" si="324"/>
        <v>49.5</v>
      </c>
      <c r="T209" s="712">
        <v>1427</v>
      </c>
      <c r="U209" s="573">
        <v>1612</v>
      </c>
      <c r="V209" s="235">
        <f t="shared" si="325"/>
        <v>13</v>
      </c>
      <c r="W209" s="468">
        <f t="shared" si="326"/>
        <v>479</v>
      </c>
      <c r="X209" s="366">
        <f t="shared" si="327"/>
        <v>539</v>
      </c>
      <c r="Y209" s="235">
        <f t="shared" si="328"/>
        <v>12.5</v>
      </c>
      <c r="Z209" s="721">
        <v>1906</v>
      </c>
      <c r="AA209" s="635">
        <v>2151</v>
      </c>
      <c r="AB209" s="235">
        <f t="shared" si="329"/>
        <v>12.9</v>
      </c>
      <c r="AC209" s="468">
        <f t="shared" si="330"/>
        <v>445</v>
      </c>
      <c r="AD209" s="366">
        <f t="shared" si="331"/>
        <v>391</v>
      </c>
      <c r="AE209" s="235">
        <f t="shared" si="332"/>
        <v>-12.1</v>
      </c>
      <c r="AF209" s="712">
        <v>2351</v>
      </c>
      <c r="AG209" s="573">
        <v>2542</v>
      </c>
      <c r="AH209" s="235">
        <f t="shared" si="333"/>
        <v>8.1</v>
      </c>
    </row>
    <row r="210" spans="1:34">
      <c r="A210" s="3"/>
      <c r="B210" s="39" t="s">
        <v>405</v>
      </c>
      <c r="C210" s="182">
        <v>250</v>
      </c>
      <c r="D210" s="182">
        <v>1158</v>
      </c>
      <c r="E210" s="344">
        <v>970</v>
      </c>
      <c r="F210" s="40">
        <v>1173</v>
      </c>
      <c r="G210" s="324">
        <v>1871</v>
      </c>
      <c r="H210" s="589">
        <v>151</v>
      </c>
      <c r="I210" s="630">
        <v>186</v>
      </c>
      <c r="J210" s="226">
        <f t="shared" si="317"/>
        <v>23.2</v>
      </c>
      <c r="K210" s="359">
        <f t="shared" si="318"/>
        <v>189</v>
      </c>
      <c r="L210" s="366">
        <f t="shared" si="319"/>
        <v>218</v>
      </c>
      <c r="M210" s="235">
        <f t="shared" si="320"/>
        <v>15.3</v>
      </c>
      <c r="N210" s="589">
        <v>340</v>
      </c>
      <c r="O210" s="589">
        <v>404</v>
      </c>
      <c r="P210" s="235">
        <f t="shared" si="321"/>
        <v>18.8</v>
      </c>
      <c r="Q210" s="359">
        <f t="shared" si="322"/>
        <v>298</v>
      </c>
      <c r="R210" s="366">
        <f t="shared" si="323"/>
        <v>297</v>
      </c>
      <c r="S210" s="235">
        <f t="shared" si="324"/>
        <v>-0.3</v>
      </c>
      <c r="T210" s="712">
        <v>638</v>
      </c>
      <c r="U210" s="573">
        <v>701</v>
      </c>
      <c r="V210" s="235">
        <f t="shared" si="325"/>
        <v>9.9</v>
      </c>
      <c r="W210" s="468">
        <f t="shared" si="326"/>
        <v>258</v>
      </c>
      <c r="X210" s="366">
        <f t="shared" si="327"/>
        <v>270</v>
      </c>
      <c r="Y210" s="235">
        <f t="shared" si="328"/>
        <v>4.7</v>
      </c>
      <c r="Z210" s="721">
        <v>896</v>
      </c>
      <c r="AA210" s="635">
        <v>971</v>
      </c>
      <c r="AB210" s="235">
        <f t="shared" si="329"/>
        <v>8.4</v>
      </c>
      <c r="AC210" s="468">
        <f t="shared" si="330"/>
        <v>252</v>
      </c>
      <c r="AD210" s="366">
        <f t="shared" si="331"/>
        <v>187</v>
      </c>
      <c r="AE210" s="235">
        <f t="shared" si="332"/>
        <v>-25.8</v>
      </c>
      <c r="AF210" s="712">
        <v>1148</v>
      </c>
      <c r="AG210" s="573">
        <v>1158</v>
      </c>
      <c r="AH210" s="235">
        <f t="shared" si="333"/>
        <v>0.9</v>
      </c>
    </row>
    <row r="211" spans="1:34">
      <c r="A211" s="3"/>
      <c r="B211" s="39" t="s">
        <v>404</v>
      </c>
      <c r="C211" s="182">
        <v>1419</v>
      </c>
      <c r="D211" s="182">
        <v>1460</v>
      </c>
      <c r="E211" s="344">
        <v>1598</v>
      </c>
      <c r="F211" s="40">
        <v>1228</v>
      </c>
      <c r="G211" s="324">
        <v>1225</v>
      </c>
      <c r="H211" s="589">
        <v>147</v>
      </c>
      <c r="I211" s="630">
        <v>48</v>
      </c>
      <c r="J211" s="226">
        <f t="shared" si="317"/>
        <v>-67.3</v>
      </c>
      <c r="K211" s="359">
        <f t="shared" si="318"/>
        <v>87</v>
      </c>
      <c r="L211" s="366">
        <f t="shared" si="319"/>
        <v>121</v>
      </c>
      <c r="M211" s="235">
        <f t="shared" si="320"/>
        <v>39.1</v>
      </c>
      <c r="N211" s="589">
        <v>234</v>
      </c>
      <c r="O211" s="589">
        <v>169</v>
      </c>
      <c r="P211" s="235">
        <f t="shared" si="321"/>
        <v>-27.8</v>
      </c>
      <c r="Q211" s="587">
        <f t="shared" ref="Q211:Q218" si="334">T211-N211</f>
        <v>129</v>
      </c>
      <c r="R211" s="589">
        <f t="shared" ref="R211:R218" si="335">U211-O211</f>
        <v>124</v>
      </c>
      <c r="S211" s="571">
        <f t="shared" ref="S211:S219" si="336">ROUND(((R211/Q211-1)*100), 1)</f>
        <v>-3.9</v>
      </c>
      <c r="T211" s="712">
        <v>363</v>
      </c>
      <c r="U211" s="573">
        <v>293</v>
      </c>
      <c r="V211" s="235">
        <f t="shared" si="325"/>
        <v>-19.3</v>
      </c>
      <c r="W211" s="468">
        <f t="shared" si="326"/>
        <v>91</v>
      </c>
      <c r="X211" s="366">
        <f t="shared" si="327"/>
        <v>164</v>
      </c>
      <c r="Y211" s="235">
        <f t="shared" si="328"/>
        <v>80.2</v>
      </c>
      <c r="Z211" s="721">
        <v>454</v>
      </c>
      <c r="AA211" s="635">
        <v>457</v>
      </c>
      <c r="AB211" s="235">
        <f t="shared" si="329"/>
        <v>0.7</v>
      </c>
      <c r="AC211" s="587">
        <f t="shared" ref="AC211:AC219" si="337">AF211-Z211</f>
        <v>106</v>
      </c>
      <c r="AD211" s="589">
        <f t="shared" ref="AD211:AD219" si="338">AG211-AA211</f>
        <v>232</v>
      </c>
      <c r="AE211" s="571">
        <f t="shared" ref="AE211:AE217" si="339">ROUND(((AD211/AC211-1)*100), 1)</f>
        <v>118.9</v>
      </c>
      <c r="AF211" s="712">
        <v>560</v>
      </c>
      <c r="AG211" s="573">
        <v>689</v>
      </c>
      <c r="AH211" s="235">
        <f t="shared" si="333"/>
        <v>23</v>
      </c>
    </row>
    <row r="212" spans="1:34">
      <c r="A212" s="3"/>
      <c r="B212" s="39" t="s">
        <v>52</v>
      </c>
      <c r="C212" s="182">
        <v>209</v>
      </c>
      <c r="D212" s="182">
        <v>539</v>
      </c>
      <c r="E212" s="344">
        <v>344</v>
      </c>
      <c r="F212" s="40">
        <v>221</v>
      </c>
      <c r="G212" s="324">
        <v>527</v>
      </c>
      <c r="H212" s="589">
        <v>16</v>
      </c>
      <c r="I212" s="630">
        <v>50</v>
      </c>
      <c r="J212" s="226">
        <f t="shared" si="317"/>
        <v>212.5</v>
      </c>
      <c r="K212" s="359">
        <f t="shared" si="318"/>
        <v>14</v>
      </c>
      <c r="L212" s="366">
        <f t="shared" si="319"/>
        <v>42</v>
      </c>
      <c r="M212" s="616">
        <f t="shared" si="320"/>
        <v>200</v>
      </c>
      <c r="N212" s="589">
        <v>30</v>
      </c>
      <c r="O212" s="589">
        <v>92</v>
      </c>
      <c r="P212" s="235">
        <f t="shared" si="321"/>
        <v>206.7</v>
      </c>
      <c r="Q212" s="587">
        <f t="shared" si="334"/>
        <v>30</v>
      </c>
      <c r="R212" s="589">
        <f t="shared" si="335"/>
        <v>56</v>
      </c>
      <c r="S212" s="571">
        <f t="shared" si="336"/>
        <v>86.7</v>
      </c>
      <c r="T212" s="712">
        <v>60</v>
      </c>
      <c r="U212" s="573">
        <v>148</v>
      </c>
      <c r="V212" s="235">
        <f t="shared" si="325"/>
        <v>146.69999999999999</v>
      </c>
      <c r="W212" s="468">
        <f t="shared" si="326"/>
        <v>53</v>
      </c>
      <c r="X212" s="366">
        <f t="shared" si="327"/>
        <v>47</v>
      </c>
      <c r="Y212" s="235">
        <f t="shared" si="328"/>
        <v>-11.3</v>
      </c>
      <c r="Z212" s="721">
        <v>113</v>
      </c>
      <c r="AA212" s="635">
        <v>195</v>
      </c>
      <c r="AB212" s="235">
        <f t="shared" si="329"/>
        <v>72.599999999999994</v>
      </c>
      <c r="AC212" s="587">
        <f t="shared" si="337"/>
        <v>53</v>
      </c>
      <c r="AD212" s="589">
        <f t="shared" si="338"/>
        <v>11</v>
      </c>
      <c r="AE212" s="571">
        <f t="shared" si="339"/>
        <v>-79.2</v>
      </c>
      <c r="AF212" s="712">
        <v>166</v>
      </c>
      <c r="AG212" s="573">
        <v>206</v>
      </c>
      <c r="AH212" s="235">
        <f t="shared" si="333"/>
        <v>24.1</v>
      </c>
    </row>
    <row r="213" spans="1:34">
      <c r="A213" s="3"/>
      <c r="B213" s="39" t="s">
        <v>390</v>
      </c>
      <c r="C213" s="182">
        <v>357</v>
      </c>
      <c r="D213" s="182">
        <v>483</v>
      </c>
      <c r="E213" s="344">
        <v>310</v>
      </c>
      <c r="F213" s="40">
        <v>93</v>
      </c>
      <c r="G213" s="324">
        <v>265</v>
      </c>
      <c r="H213" s="589">
        <v>7</v>
      </c>
      <c r="I213" s="630">
        <v>21</v>
      </c>
      <c r="J213" s="571">
        <f t="shared" si="317"/>
        <v>200</v>
      </c>
      <c r="K213" s="359">
        <f t="shared" si="318"/>
        <v>6</v>
      </c>
      <c r="L213" s="366">
        <f t="shared" si="319"/>
        <v>42</v>
      </c>
      <c r="M213" s="571">
        <f t="shared" si="320"/>
        <v>600</v>
      </c>
      <c r="N213" s="589">
        <v>13</v>
      </c>
      <c r="O213" s="589">
        <v>63</v>
      </c>
      <c r="P213" s="235">
        <f t="shared" si="321"/>
        <v>384.6</v>
      </c>
      <c r="Q213" s="587">
        <f t="shared" si="334"/>
        <v>12</v>
      </c>
      <c r="R213" s="589">
        <f t="shared" si="335"/>
        <v>33</v>
      </c>
      <c r="S213" s="571">
        <f t="shared" si="336"/>
        <v>175</v>
      </c>
      <c r="T213" s="712">
        <v>25</v>
      </c>
      <c r="U213" s="573">
        <v>96</v>
      </c>
      <c r="V213" s="235">
        <f t="shared" si="325"/>
        <v>284</v>
      </c>
      <c r="W213" s="468">
        <f t="shared" si="326"/>
        <v>19</v>
      </c>
      <c r="X213" s="366">
        <f t="shared" si="327"/>
        <v>43</v>
      </c>
      <c r="Y213" s="235">
        <f t="shared" si="328"/>
        <v>126.3</v>
      </c>
      <c r="Z213" s="721">
        <v>44</v>
      </c>
      <c r="AA213" s="635">
        <v>139</v>
      </c>
      <c r="AB213" s="235">
        <f t="shared" si="329"/>
        <v>215.9</v>
      </c>
      <c r="AC213" s="587">
        <f t="shared" si="337"/>
        <v>64</v>
      </c>
      <c r="AD213" s="589">
        <f t="shared" si="338"/>
        <v>24</v>
      </c>
      <c r="AE213" s="571">
        <f t="shared" si="339"/>
        <v>-62.5</v>
      </c>
      <c r="AF213" s="712">
        <v>108</v>
      </c>
      <c r="AG213" s="573">
        <v>163</v>
      </c>
      <c r="AH213" s="235">
        <f t="shared" si="333"/>
        <v>50.9</v>
      </c>
    </row>
    <row r="214" spans="1:34">
      <c r="A214" s="3"/>
      <c r="B214" s="39" t="s">
        <v>46</v>
      </c>
      <c r="C214" s="182">
        <v>144</v>
      </c>
      <c r="D214" s="182">
        <v>187</v>
      </c>
      <c r="E214" s="344">
        <v>233</v>
      </c>
      <c r="F214" s="40">
        <v>174</v>
      </c>
      <c r="G214" s="324">
        <v>147</v>
      </c>
      <c r="H214" s="589">
        <v>4</v>
      </c>
      <c r="I214" s="630">
        <v>6</v>
      </c>
      <c r="J214" s="571">
        <f t="shared" si="317"/>
        <v>50</v>
      </c>
      <c r="K214" s="359">
        <f t="shared" si="318"/>
        <v>10</v>
      </c>
      <c r="L214" s="366">
        <f t="shared" si="319"/>
        <v>11</v>
      </c>
      <c r="M214" s="235">
        <f t="shared" si="320"/>
        <v>10</v>
      </c>
      <c r="N214" s="589">
        <v>14</v>
      </c>
      <c r="O214" s="589">
        <v>17</v>
      </c>
      <c r="P214" s="235">
        <f t="shared" si="321"/>
        <v>21.4</v>
      </c>
      <c r="Q214" s="587">
        <f t="shared" si="334"/>
        <v>16</v>
      </c>
      <c r="R214" s="589">
        <f t="shared" si="335"/>
        <v>15</v>
      </c>
      <c r="S214" s="571">
        <f t="shared" si="336"/>
        <v>-6.3</v>
      </c>
      <c r="T214" s="712">
        <v>30</v>
      </c>
      <c r="U214" s="573">
        <v>32</v>
      </c>
      <c r="V214" s="571">
        <f t="shared" si="325"/>
        <v>6.7</v>
      </c>
      <c r="W214" s="468">
        <f t="shared" si="326"/>
        <v>11</v>
      </c>
      <c r="X214" s="366">
        <f t="shared" si="327"/>
        <v>17</v>
      </c>
      <c r="Y214" s="235">
        <f t="shared" si="328"/>
        <v>54.5</v>
      </c>
      <c r="Z214" s="721">
        <v>41</v>
      </c>
      <c r="AA214" s="635">
        <v>49</v>
      </c>
      <c r="AB214" s="235">
        <f t="shared" si="329"/>
        <v>19.5</v>
      </c>
      <c r="AC214" s="587">
        <f t="shared" si="337"/>
        <v>10</v>
      </c>
      <c r="AD214" s="589">
        <f t="shared" si="338"/>
        <v>13</v>
      </c>
      <c r="AE214" s="571">
        <f t="shared" si="339"/>
        <v>30</v>
      </c>
      <c r="AF214" s="712">
        <v>51</v>
      </c>
      <c r="AG214" s="573">
        <v>62</v>
      </c>
      <c r="AH214" s="235">
        <f t="shared" si="333"/>
        <v>21.6</v>
      </c>
    </row>
    <row r="215" spans="1:34" s="277" customFormat="1">
      <c r="A215" s="396"/>
      <c r="B215" s="39" t="s">
        <v>436</v>
      </c>
      <c r="C215" s="182">
        <v>0</v>
      </c>
      <c r="D215" s="182">
        <v>0</v>
      </c>
      <c r="E215" s="182">
        <v>0</v>
      </c>
      <c r="F215" s="40">
        <v>165</v>
      </c>
      <c r="G215" s="324">
        <v>142</v>
      </c>
      <c r="H215" s="589">
        <v>82</v>
      </c>
      <c r="I215" s="630">
        <v>0</v>
      </c>
      <c r="J215" s="571">
        <f t="shared" si="317"/>
        <v>-100</v>
      </c>
      <c r="K215" s="359">
        <f t="shared" si="318"/>
        <v>13</v>
      </c>
      <c r="L215" s="366">
        <f t="shared" si="319"/>
        <v>0</v>
      </c>
      <c r="M215" s="571">
        <f t="shared" si="320"/>
        <v>-100</v>
      </c>
      <c r="N215" s="589">
        <v>95</v>
      </c>
      <c r="O215" s="589">
        <v>0</v>
      </c>
      <c r="P215" s="571">
        <f t="shared" si="321"/>
        <v>-100</v>
      </c>
      <c r="Q215" s="587">
        <f t="shared" si="334"/>
        <v>14</v>
      </c>
      <c r="R215" s="589">
        <f t="shared" si="335"/>
        <v>0</v>
      </c>
      <c r="S215" s="571">
        <f t="shared" si="336"/>
        <v>-100</v>
      </c>
      <c r="T215" s="712">
        <v>109</v>
      </c>
      <c r="U215" s="573">
        <v>0</v>
      </c>
      <c r="V215" s="571">
        <f t="shared" si="325"/>
        <v>-100</v>
      </c>
      <c r="W215" s="468">
        <f t="shared" si="326"/>
        <v>0</v>
      </c>
      <c r="X215" s="366">
        <f t="shared" si="327"/>
        <v>1</v>
      </c>
      <c r="Y215" s="462">
        <v>0</v>
      </c>
      <c r="Z215" s="721">
        <v>109</v>
      </c>
      <c r="AA215" s="635">
        <v>1</v>
      </c>
      <c r="AB215" s="571">
        <f t="shared" si="329"/>
        <v>-99.1</v>
      </c>
      <c r="AC215" s="587">
        <f t="shared" si="337"/>
        <v>0</v>
      </c>
      <c r="AD215" s="589">
        <f t="shared" si="338"/>
        <v>4</v>
      </c>
      <c r="AE215" s="579">
        <v>0</v>
      </c>
      <c r="AF215" s="712">
        <v>109</v>
      </c>
      <c r="AG215" s="573">
        <v>5</v>
      </c>
      <c r="AH215" s="571">
        <f t="shared" si="333"/>
        <v>-95.4</v>
      </c>
    </row>
    <row r="216" spans="1:34">
      <c r="A216" s="3"/>
      <c r="B216" s="39" t="s">
        <v>406</v>
      </c>
      <c r="C216" s="182">
        <v>121</v>
      </c>
      <c r="D216" s="182">
        <v>209</v>
      </c>
      <c r="E216" s="344">
        <v>175</v>
      </c>
      <c r="F216" s="40">
        <v>90</v>
      </c>
      <c r="G216" s="324">
        <v>102</v>
      </c>
      <c r="H216" s="589">
        <v>13</v>
      </c>
      <c r="I216" s="630">
        <v>12</v>
      </c>
      <c r="J216" s="571">
        <f t="shared" si="317"/>
        <v>-7.7</v>
      </c>
      <c r="K216" s="359">
        <f t="shared" si="318"/>
        <v>1</v>
      </c>
      <c r="L216" s="366">
        <f t="shared" si="319"/>
        <v>2</v>
      </c>
      <c r="M216" s="571">
        <f>ROUND(((L216/K216-1)*100), 1)</f>
        <v>100</v>
      </c>
      <c r="N216" s="589">
        <v>14</v>
      </c>
      <c r="O216" s="589">
        <v>14</v>
      </c>
      <c r="P216" s="235">
        <f>ROUND(((O216/N216-1)*100), 1)</f>
        <v>0</v>
      </c>
      <c r="Q216" s="587">
        <f t="shared" si="334"/>
        <v>7</v>
      </c>
      <c r="R216" s="589">
        <f t="shared" si="335"/>
        <v>3</v>
      </c>
      <c r="S216" s="571">
        <f t="shared" si="336"/>
        <v>-57.1</v>
      </c>
      <c r="T216" s="712">
        <v>21</v>
      </c>
      <c r="U216" s="573">
        <v>17</v>
      </c>
      <c r="V216" s="571">
        <f t="shared" si="325"/>
        <v>-19</v>
      </c>
      <c r="W216" s="468">
        <f t="shared" si="326"/>
        <v>1</v>
      </c>
      <c r="X216" s="366">
        <f t="shared" si="327"/>
        <v>11</v>
      </c>
      <c r="Y216" s="235">
        <f>ROUND(((X216/W216-1)*100), 1)</f>
        <v>1000</v>
      </c>
      <c r="Z216" s="721">
        <v>22</v>
      </c>
      <c r="AA216" s="635">
        <v>28</v>
      </c>
      <c r="AB216" s="571">
        <f t="shared" si="329"/>
        <v>27.3</v>
      </c>
      <c r="AC216" s="587">
        <f t="shared" si="337"/>
        <v>27</v>
      </c>
      <c r="AD216" s="589">
        <f t="shared" si="338"/>
        <v>11</v>
      </c>
      <c r="AE216" s="571">
        <f t="shared" si="339"/>
        <v>-59.3</v>
      </c>
      <c r="AF216" s="712">
        <v>49</v>
      </c>
      <c r="AG216" s="573">
        <v>39</v>
      </c>
      <c r="AH216" s="235">
        <f>ROUND(((AG216/AF216-1)*100), 1)</f>
        <v>-20.399999999999999</v>
      </c>
    </row>
    <row r="217" spans="1:34" s="605" customFormat="1">
      <c r="A217" s="675"/>
      <c r="B217" s="611" t="s">
        <v>516</v>
      </c>
      <c r="C217" s="613">
        <v>35</v>
      </c>
      <c r="D217" s="613">
        <v>50</v>
      </c>
      <c r="E217" s="583">
        <v>21</v>
      </c>
      <c r="F217" s="608">
        <v>36</v>
      </c>
      <c r="G217" s="324">
        <v>95</v>
      </c>
      <c r="H217" s="589"/>
      <c r="I217" s="630">
        <v>3</v>
      </c>
      <c r="J217" s="579">
        <v>0</v>
      </c>
      <c r="K217" s="587">
        <f t="shared" ref="K217" si="340">N217-H217</f>
        <v>4</v>
      </c>
      <c r="L217" s="589">
        <f t="shared" ref="L217" si="341">O217-I217</f>
        <v>1</v>
      </c>
      <c r="M217" s="571">
        <f>ROUND(((L217/K217-1)*100), 1)</f>
        <v>-75</v>
      </c>
      <c r="N217" s="589">
        <v>4</v>
      </c>
      <c r="O217" s="589">
        <v>4</v>
      </c>
      <c r="P217" s="571">
        <f>ROUND(((O217/N217-1)*100), 1)</f>
        <v>0</v>
      </c>
      <c r="Q217" s="587">
        <f t="shared" si="334"/>
        <v>1</v>
      </c>
      <c r="R217" s="589">
        <f t="shared" si="335"/>
        <v>0</v>
      </c>
      <c r="S217" s="571">
        <f t="shared" si="336"/>
        <v>-100</v>
      </c>
      <c r="T217" s="712">
        <v>5</v>
      </c>
      <c r="U217" s="573">
        <v>4</v>
      </c>
      <c r="V217" s="571">
        <f t="shared" si="325"/>
        <v>-20</v>
      </c>
      <c r="W217" s="587"/>
      <c r="X217" s="589"/>
      <c r="Y217" s="579">
        <v>0</v>
      </c>
      <c r="Z217" s="721">
        <v>10</v>
      </c>
      <c r="AA217" s="635">
        <v>4</v>
      </c>
      <c r="AB217" s="571">
        <f t="shared" si="329"/>
        <v>-60</v>
      </c>
      <c r="AC217" s="587">
        <f t="shared" si="337"/>
        <v>15</v>
      </c>
      <c r="AD217" s="589">
        <f t="shared" si="338"/>
        <v>3</v>
      </c>
      <c r="AE217" s="571">
        <f t="shared" si="339"/>
        <v>-80</v>
      </c>
      <c r="AF217" s="712">
        <v>25</v>
      </c>
      <c r="AG217" s="573">
        <v>7</v>
      </c>
      <c r="AH217" s="571">
        <f t="shared" si="333"/>
        <v>-72</v>
      </c>
    </row>
    <row r="218" spans="1:34">
      <c r="A218" s="3"/>
      <c r="B218" s="39" t="s">
        <v>62</v>
      </c>
      <c r="C218" s="182">
        <v>516</v>
      </c>
      <c r="D218" s="182">
        <v>485</v>
      </c>
      <c r="E218" s="344">
        <v>88</v>
      </c>
      <c r="F218" s="40">
        <v>233</v>
      </c>
      <c r="G218" s="324">
        <v>72</v>
      </c>
      <c r="H218" s="589">
        <v>0</v>
      </c>
      <c r="I218" s="630">
        <v>0</v>
      </c>
      <c r="J218" s="579">
        <v>0</v>
      </c>
      <c r="K218" s="359">
        <f>N218-H218</f>
        <v>0</v>
      </c>
      <c r="L218" s="366">
        <f>O218-I218</f>
        <v>0</v>
      </c>
      <c r="M218" s="570">
        <v>0</v>
      </c>
      <c r="N218" s="589">
        <v>0</v>
      </c>
      <c r="O218" s="589">
        <v>0</v>
      </c>
      <c r="P218" s="570">
        <v>0</v>
      </c>
      <c r="Q218" s="587">
        <f t="shared" si="334"/>
        <v>18</v>
      </c>
      <c r="R218" s="589">
        <f t="shared" si="335"/>
        <v>19</v>
      </c>
      <c r="S218" s="571">
        <f t="shared" si="336"/>
        <v>5.6</v>
      </c>
      <c r="T218" s="712">
        <v>18</v>
      </c>
      <c r="U218" s="573">
        <v>19</v>
      </c>
      <c r="V218" s="235">
        <f>ROUND(((U218/T218-1)*100), 1)</f>
        <v>5.6</v>
      </c>
      <c r="W218" s="468">
        <f>Z218-T218</f>
        <v>9</v>
      </c>
      <c r="X218" s="366">
        <f>AA218-U218</f>
        <v>0</v>
      </c>
      <c r="Y218" s="235">
        <f>ROUND(((X218/W218-1)*100), 1)</f>
        <v>-100</v>
      </c>
      <c r="Z218" s="721">
        <v>27</v>
      </c>
      <c r="AA218" s="635">
        <v>19</v>
      </c>
      <c r="AB218" s="235">
        <f>ROUND(((AA218/Z218-1)*100), 1)</f>
        <v>-29.6</v>
      </c>
      <c r="AC218" s="587">
        <f t="shared" si="337"/>
        <v>0</v>
      </c>
      <c r="AD218" s="589">
        <f t="shared" si="338"/>
        <v>0</v>
      </c>
      <c r="AE218" s="579">
        <v>0</v>
      </c>
      <c r="AF218" s="712">
        <v>27</v>
      </c>
      <c r="AG218" s="573">
        <v>19</v>
      </c>
      <c r="AH218" s="235">
        <f>ROUND(((AG218/AF218-1)*100), 1)</f>
        <v>-29.6</v>
      </c>
    </row>
    <row r="219" spans="1:34">
      <c r="A219" s="3"/>
      <c r="B219" s="39" t="s">
        <v>53</v>
      </c>
      <c r="C219" s="182">
        <v>122</v>
      </c>
      <c r="D219" s="182">
        <v>203</v>
      </c>
      <c r="E219" s="344">
        <v>103</v>
      </c>
      <c r="F219" s="40">
        <v>67</v>
      </c>
      <c r="G219" s="324">
        <v>20</v>
      </c>
      <c r="H219" s="589">
        <v>3</v>
      </c>
      <c r="I219" s="630">
        <v>3</v>
      </c>
      <c r="J219" s="226">
        <f>ROUND(((I219/H219-1)*100), 1)</f>
        <v>0</v>
      </c>
      <c r="K219" s="359">
        <f>N219-H219</f>
        <v>4</v>
      </c>
      <c r="L219" s="366">
        <f>O219-I219</f>
        <v>0</v>
      </c>
      <c r="M219" s="235">
        <f>ROUND(((L219/K219-1)*100), 1)</f>
        <v>-100</v>
      </c>
      <c r="N219" s="589">
        <v>7</v>
      </c>
      <c r="O219" s="589">
        <v>3</v>
      </c>
      <c r="P219" s="235">
        <f>ROUND(((O219/N219-1)*100), 1)</f>
        <v>-57.1</v>
      </c>
      <c r="Q219" s="359">
        <f>T219-N219</f>
        <v>2</v>
      </c>
      <c r="R219" s="366">
        <f>U219-O219</f>
        <v>1</v>
      </c>
      <c r="S219" s="571">
        <f t="shared" si="336"/>
        <v>-50</v>
      </c>
      <c r="T219" s="712">
        <v>9</v>
      </c>
      <c r="U219" s="573">
        <v>4</v>
      </c>
      <c r="V219" s="235">
        <f>ROUND(((U219/T219-1)*100), 1)</f>
        <v>-55.6</v>
      </c>
      <c r="W219" s="468">
        <f>Z219-T219</f>
        <v>0</v>
      </c>
      <c r="X219" s="366">
        <f>AA219-U219</f>
        <v>0</v>
      </c>
      <c r="Y219" s="579">
        <v>0</v>
      </c>
      <c r="Z219" s="721">
        <v>9</v>
      </c>
      <c r="AA219" s="635">
        <v>4</v>
      </c>
      <c r="AB219" s="235">
        <f>ROUND(((AA219/Z219-1)*100), 1)</f>
        <v>-55.6</v>
      </c>
      <c r="AC219" s="587">
        <f t="shared" si="337"/>
        <v>0</v>
      </c>
      <c r="AD219" s="589">
        <f t="shared" si="338"/>
        <v>0</v>
      </c>
      <c r="AE219" s="579">
        <v>0</v>
      </c>
      <c r="AF219" s="712">
        <v>9</v>
      </c>
      <c r="AG219" s="573">
        <v>4</v>
      </c>
      <c r="AH219" s="235">
        <f>ROUND(((AG219/AF219-1)*100), 1)</f>
        <v>-55.6</v>
      </c>
    </row>
    <row r="220" spans="1:34">
      <c r="A220" s="3"/>
      <c r="B220" s="39" t="s">
        <v>18</v>
      </c>
      <c r="C220" s="182">
        <f t="shared" ref="C220:I220" si="342">C221-SUM(C206:C219)</f>
        <v>4</v>
      </c>
      <c r="D220" s="182">
        <f t="shared" si="342"/>
        <v>67</v>
      </c>
      <c r="E220" s="344">
        <f t="shared" si="342"/>
        <v>124</v>
      </c>
      <c r="F220" s="40">
        <f t="shared" si="342"/>
        <v>97</v>
      </c>
      <c r="G220" s="608">
        <f t="shared" si="342"/>
        <v>36</v>
      </c>
      <c r="H220" s="587">
        <f t="shared" si="342"/>
        <v>24</v>
      </c>
      <c r="I220" s="629">
        <f t="shared" si="342"/>
        <v>1</v>
      </c>
      <c r="J220" s="226">
        <f>ROUND(((I220/H220-1)*100), 1)</f>
        <v>-95.8</v>
      </c>
      <c r="K220" s="444">
        <f>K221-SUM(K206:K219)</f>
        <v>0</v>
      </c>
      <c r="L220" s="359">
        <f>L221-SUM(L206:L219)</f>
        <v>0</v>
      </c>
      <c r="M220" s="543">
        <v>0</v>
      </c>
      <c r="N220" s="587">
        <f>N221-SUM(N206:N219)</f>
        <v>24</v>
      </c>
      <c r="O220" s="587">
        <f>O221-SUM(O206:O219)</f>
        <v>1</v>
      </c>
      <c r="P220" s="235">
        <f>ROUND(((O220/N220-1)*100), 1)</f>
        <v>-95.8</v>
      </c>
      <c r="Q220" s="444">
        <f t="shared" ref="Q220" si="343">Q221-SUM(Q206:Q219)</f>
        <v>0</v>
      </c>
      <c r="R220" s="359">
        <f>R221-SUM(R206:R219)</f>
        <v>2</v>
      </c>
      <c r="S220" s="172">
        <v>0</v>
      </c>
      <c r="T220" s="587">
        <f>T221-SUM(T206:T219)</f>
        <v>24</v>
      </c>
      <c r="U220" s="587">
        <f>U221-SUM(U206:U219)</f>
        <v>3</v>
      </c>
      <c r="V220" s="235">
        <f>ROUND(((U220/T220-1)*100), 1)</f>
        <v>-87.5</v>
      </c>
      <c r="W220" s="444">
        <f t="shared" ref="W220" si="344">W221-SUM(W206:W219)</f>
        <v>6</v>
      </c>
      <c r="X220" s="468">
        <f>X221-SUM(X206:X219)</f>
        <v>0</v>
      </c>
      <c r="Y220" s="235">
        <f>ROUND(((X220/W220-1)*100), 1)</f>
        <v>-100</v>
      </c>
      <c r="Z220" s="629">
        <f>Z221-SUM(Z206:Z219)</f>
        <v>25</v>
      </c>
      <c r="AA220" s="629">
        <f>AA221-SUM(AA206:AA219)</f>
        <v>3</v>
      </c>
      <c r="AB220" s="235">
        <f>ROUND(((AA220/Z220-1)*100), 1)</f>
        <v>-88</v>
      </c>
      <c r="AC220" s="444">
        <f t="shared" ref="AC220" si="345">AC221-SUM(AC206:AC219)</f>
        <v>0</v>
      </c>
      <c r="AD220" s="468">
        <f>AD221-SUM(AD206:AD219)</f>
        <v>9</v>
      </c>
      <c r="AE220" s="580">
        <v>0</v>
      </c>
      <c r="AF220" s="587">
        <f>AF221-SUM(AF206:AF219)</f>
        <v>25</v>
      </c>
      <c r="AG220" s="587">
        <f>AG221-SUM(AG206:AG219)</f>
        <v>12</v>
      </c>
      <c r="AH220" s="235">
        <f>ROUND(((AG220/AF220-1)*100), 1)</f>
        <v>-52</v>
      </c>
    </row>
    <row r="221" spans="1:34">
      <c r="A221" s="8"/>
      <c r="B221" s="63" t="s">
        <v>101</v>
      </c>
      <c r="C221" s="308">
        <v>65086</v>
      </c>
      <c r="D221" s="308">
        <v>67763</v>
      </c>
      <c r="E221" s="352">
        <v>67122</v>
      </c>
      <c r="F221" s="42">
        <v>66820</v>
      </c>
      <c r="G221" s="609">
        <v>69837</v>
      </c>
      <c r="H221" s="582">
        <v>6066</v>
      </c>
      <c r="I221" s="632">
        <v>5629</v>
      </c>
      <c r="J221" s="227">
        <f>ROUND(((I221/H221-1)*100), 1)</f>
        <v>-7.2</v>
      </c>
      <c r="K221" s="376">
        <f>N221-H221</f>
        <v>4130</v>
      </c>
      <c r="L221" s="280">
        <f>O221-I221</f>
        <v>5156</v>
      </c>
      <c r="M221" s="236">
        <f>ROUND(((L221/K221-1)*100), 1)</f>
        <v>24.8</v>
      </c>
      <c r="N221" s="582">
        <v>10196</v>
      </c>
      <c r="O221" s="582">
        <v>10785</v>
      </c>
      <c r="P221" s="236">
        <f>ROUND(((O221/N221-1)*100), 1)</f>
        <v>5.8</v>
      </c>
      <c r="Q221" s="376">
        <f>T221-N221</f>
        <v>7827</v>
      </c>
      <c r="R221" s="280">
        <f>U221-O221</f>
        <v>7778</v>
      </c>
      <c r="S221" s="236">
        <f>ROUND(((R221/Q221-1)*100), 1)</f>
        <v>-0.6</v>
      </c>
      <c r="T221" s="582">
        <v>18023</v>
      </c>
      <c r="U221" s="582">
        <v>18563</v>
      </c>
      <c r="V221" s="236">
        <f>ROUND(((U221/T221-1)*100), 1)</f>
        <v>3</v>
      </c>
      <c r="W221" s="376">
        <f>Z221-T221</f>
        <v>6227</v>
      </c>
      <c r="X221" s="280">
        <f>AA221-U221</f>
        <v>7221</v>
      </c>
      <c r="Y221" s="236">
        <f>ROUND(((X221/W221-1)*100), 1)</f>
        <v>16</v>
      </c>
      <c r="Z221" s="632">
        <v>24250</v>
      </c>
      <c r="AA221" s="632">
        <v>25784</v>
      </c>
      <c r="AB221" s="236">
        <f>ROUND(((AA221/Z221-1)*100), 1)</f>
        <v>6.3</v>
      </c>
      <c r="AC221" s="376">
        <f>AF221-Z221</f>
        <v>4026</v>
      </c>
      <c r="AD221" s="280">
        <f>AG221-AA221</f>
        <v>6141</v>
      </c>
      <c r="AE221" s="236">
        <f>ROUND(((AD221/AC221-1)*100), 1)</f>
        <v>52.5</v>
      </c>
      <c r="AF221" s="582">
        <v>28276</v>
      </c>
      <c r="AG221" s="582">
        <v>31925</v>
      </c>
      <c r="AH221" s="236">
        <f>ROUND(((AG221/AF221-1)*100), 1)</f>
        <v>12.9</v>
      </c>
    </row>
    <row r="222" spans="1:34">
      <c r="A222" s="64" t="s">
        <v>111</v>
      </c>
      <c r="B222" s="278"/>
      <c r="J222" s="221"/>
    </row>
    <row r="223" spans="1:34">
      <c r="A223" s="51"/>
      <c r="B223" s="278"/>
      <c r="J223" s="221"/>
    </row>
    <row r="224" spans="1:34">
      <c r="A224" s="77" t="s">
        <v>134</v>
      </c>
      <c r="B224" s="241"/>
      <c r="C224" s="58"/>
      <c r="G224" s="58" t="s">
        <v>135</v>
      </c>
      <c r="H224" s="568"/>
      <c r="I224" s="625"/>
      <c r="J224" s="232"/>
      <c r="K224" s="267"/>
      <c r="L224" s="267"/>
      <c r="M224" s="232"/>
      <c r="N224" s="568"/>
      <c r="O224" s="568"/>
      <c r="P224" s="232"/>
      <c r="Q224" s="267"/>
      <c r="R224" s="267"/>
      <c r="S224" s="232"/>
      <c r="T224" s="568"/>
      <c r="U224" s="568"/>
      <c r="V224" s="232"/>
      <c r="W224" s="267"/>
      <c r="X224" s="267"/>
      <c r="Y224" s="232"/>
      <c r="Z224" s="625"/>
      <c r="AA224" s="625"/>
      <c r="AB224" s="232"/>
      <c r="AC224" s="267"/>
      <c r="AD224" s="267"/>
      <c r="AE224" s="232"/>
      <c r="AF224" s="568"/>
      <c r="AG224" s="568"/>
      <c r="AH224" s="232"/>
    </row>
    <row r="225" spans="1:34">
      <c r="A225" s="60"/>
      <c r="B225" s="26"/>
      <c r="C225" s="61"/>
      <c r="D225" s="61"/>
      <c r="E225" s="223"/>
      <c r="F225" s="223"/>
      <c r="G225" s="223"/>
      <c r="H225" s="223"/>
      <c r="I225" s="619"/>
      <c r="J225" s="229" t="s">
        <v>87</v>
      </c>
      <c r="K225" s="223"/>
      <c r="L225" s="223"/>
      <c r="M225" s="237"/>
      <c r="N225" s="223"/>
      <c r="O225" s="223"/>
      <c r="P225" s="237" t="s">
        <v>87</v>
      </c>
      <c r="Q225" s="223"/>
      <c r="R225" s="223"/>
      <c r="S225" s="237"/>
      <c r="T225" s="223"/>
      <c r="U225" s="223"/>
      <c r="V225" s="237" t="s">
        <v>87</v>
      </c>
      <c r="W225" s="223"/>
      <c r="X225" s="223"/>
      <c r="Y225" s="237"/>
      <c r="Z225" s="619"/>
      <c r="AA225" s="619"/>
      <c r="AB225" s="237" t="s">
        <v>87</v>
      </c>
      <c r="AC225" s="223"/>
      <c r="AD225" s="223"/>
      <c r="AE225" s="237"/>
      <c r="AF225" s="223"/>
      <c r="AG225" s="223"/>
      <c r="AH225" s="237" t="s">
        <v>87</v>
      </c>
    </row>
    <row r="226" spans="1:34">
      <c r="A226" s="839" t="s">
        <v>88</v>
      </c>
      <c r="B226" s="839"/>
      <c r="C226" s="838" t="s">
        <v>2</v>
      </c>
      <c r="D226" s="838" t="s">
        <v>3</v>
      </c>
      <c r="E226" s="837" t="s">
        <v>76</v>
      </c>
      <c r="F226" s="838" t="s">
        <v>294</v>
      </c>
      <c r="G226" s="838" t="s">
        <v>431</v>
      </c>
      <c r="H226" s="837" t="s">
        <v>33</v>
      </c>
      <c r="I226" s="838"/>
      <c r="J226" s="839"/>
      <c r="K226" s="837" t="s">
        <v>471</v>
      </c>
      <c r="L226" s="838"/>
      <c r="M226" s="839"/>
      <c r="N226" s="837" t="s">
        <v>472</v>
      </c>
      <c r="O226" s="838"/>
      <c r="P226" s="839"/>
      <c r="Q226" s="837" t="s">
        <v>477</v>
      </c>
      <c r="R226" s="838"/>
      <c r="S226" s="839"/>
      <c r="T226" s="837" t="s">
        <v>478</v>
      </c>
      <c r="U226" s="838"/>
      <c r="V226" s="839"/>
      <c r="W226" s="837" t="s">
        <v>484</v>
      </c>
      <c r="X226" s="838"/>
      <c r="Y226" s="839"/>
      <c r="Z226" s="837" t="s">
        <v>486</v>
      </c>
      <c r="AA226" s="838"/>
      <c r="AB226" s="839"/>
      <c r="AC226" s="837" t="s">
        <v>495</v>
      </c>
      <c r="AD226" s="838"/>
      <c r="AE226" s="839"/>
      <c r="AF226" s="837" t="s">
        <v>496</v>
      </c>
      <c r="AG226" s="838"/>
      <c r="AH226" s="839"/>
    </row>
    <row r="227" spans="1:34">
      <c r="A227" s="839"/>
      <c r="B227" s="839"/>
      <c r="C227" s="838"/>
      <c r="D227" s="838"/>
      <c r="E227" s="837"/>
      <c r="F227" s="838"/>
      <c r="G227" s="838"/>
      <c r="H227" s="535" t="s">
        <v>431</v>
      </c>
      <c r="I227" s="697" t="s">
        <v>503</v>
      </c>
      <c r="J227" s="531" t="s">
        <v>5</v>
      </c>
      <c r="K227" s="535" t="s">
        <v>431</v>
      </c>
      <c r="L227" s="533" t="s">
        <v>503</v>
      </c>
      <c r="M227" s="531" t="s">
        <v>5</v>
      </c>
      <c r="N227" s="535" t="s">
        <v>431</v>
      </c>
      <c r="O227" s="533" t="s">
        <v>503</v>
      </c>
      <c r="P227" s="531" t="s">
        <v>5</v>
      </c>
      <c r="Q227" s="535" t="s">
        <v>431</v>
      </c>
      <c r="R227" s="533" t="s">
        <v>503</v>
      </c>
      <c r="S227" s="531" t="s">
        <v>5</v>
      </c>
      <c r="T227" s="535" t="s">
        <v>431</v>
      </c>
      <c r="U227" s="533" t="s">
        <v>503</v>
      </c>
      <c r="V227" s="531" t="s">
        <v>5</v>
      </c>
      <c r="W227" s="535" t="s">
        <v>431</v>
      </c>
      <c r="X227" s="533" t="s">
        <v>503</v>
      </c>
      <c r="Y227" s="531" t="s">
        <v>5</v>
      </c>
      <c r="Z227" s="698" t="s">
        <v>431</v>
      </c>
      <c r="AA227" s="697" t="s">
        <v>503</v>
      </c>
      <c r="AB227" s="531" t="s">
        <v>5</v>
      </c>
      <c r="AC227" s="535" t="s">
        <v>431</v>
      </c>
      <c r="AD227" s="533" t="s">
        <v>503</v>
      </c>
      <c r="AE227" s="531" t="s">
        <v>5</v>
      </c>
      <c r="AF227" s="535" t="s">
        <v>431</v>
      </c>
      <c r="AG227" s="533" t="s">
        <v>503</v>
      </c>
      <c r="AH227" s="531" t="s">
        <v>5</v>
      </c>
    </row>
    <row r="228" spans="1:34">
      <c r="A228" s="7"/>
      <c r="B228" s="81" t="s">
        <v>46</v>
      </c>
      <c r="C228" s="183">
        <v>13017</v>
      </c>
      <c r="D228" s="183">
        <v>13264</v>
      </c>
      <c r="E228" s="357">
        <v>12068</v>
      </c>
      <c r="F228" s="62">
        <v>11217</v>
      </c>
      <c r="G228" s="62">
        <v>12304</v>
      </c>
      <c r="H228" s="584">
        <v>756</v>
      </c>
      <c r="I228" s="634">
        <v>1234</v>
      </c>
      <c r="J228" s="226">
        <f t="shared" ref="J228:J236" si="346">ROUND(((I228/H228-1)*100), 1)</f>
        <v>63.2</v>
      </c>
      <c r="K228" s="360">
        <f t="shared" ref="K228:L235" si="347">N228-H228</f>
        <v>711</v>
      </c>
      <c r="L228" s="365">
        <f t="shared" si="347"/>
        <v>1420</v>
      </c>
      <c r="M228" s="235">
        <f t="shared" ref="M228:M235" si="348">ROUND(((L228/K228-1)*100), 1)</f>
        <v>99.7</v>
      </c>
      <c r="N228" s="584">
        <v>1467</v>
      </c>
      <c r="O228" s="584">
        <v>2654</v>
      </c>
      <c r="P228" s="235">
        <f t="shared" ref="P228:P236" si="349">ROUND(((O228/N228-1)*100), 1)</f>
        <v>80.900000000000006</v>
      </c>
      <c r="Q228" s="360">
        <f t="shared" ref="Q228:R234" si="350">T228-N228</f>
        <v>996</v>
      </c>
      <c r="R228" s="365">
        <f t="shared" si="350"/>
        <v>1749</v>
      </c>
      <c r="S228" s="235">
        <f t="shared" ref="S228:S234" si="351">ROUND(((R228/Q228-1)*100), 1)</f>
        <v>75.599999999999994</v>
      </c>
      <c r="T228" s="709">
        <v>2463</v>
      </c>
      <c r="U228" s="584">
        <v>4403</v>
      </c>
      <c r="V228" s="235">
        <f t="shared" ref="V228:V243" si="352">ROUND(((U228/T228-1)*100), 1)</f>
        <v>78.8</v>
      </c>
      <c r="W228" s="469">
        <f t="shared" ref="W228:X235" si="353">Z228-T228</f>
        <v>938</v>
      </c>
      <c r="X228" s="365">
        <f t="shared" si="353"/>
        <v>1355</v>
      </c>
      <c r="Y228" s="235">
        <f t="shared" ref="Y228:Y235" si="354">ROUND(((X228/W228-1)*100), 1)</f>
        <v>44.5</v>
      </c>
      <c r="Z228" s="718">
        <v>3401</v>
      </c>
      <c r="AA228" s="634">
        <v>5758</v>
      </c>
      <c r="AB228" s="235">
        <f t="shared" ref="AB228:AB245" si="355">ROUND(((AA228/Z228-1)*100), 1)</f>
        <v>69.3</v>
      </c>
      <c r="AC228" s="469">
        <f t="shared" ref="AC228:AD234" si="356">AF228-Z228</f>
        <v>843</v>
      </c>
      <c r="AD228" s="365">
        <f t="shared" si="356"/>
        <v>1728</v>
      </c>
      <c r="AE228" s="235">
        <f t="shared" ref="AE228:AE234" si="357">ROUND(((AD228/AC228-1)*100), 1)</f>
        <v>105</v>
      </c>
      <c r="AF228" s="709">
        <v>4244</v>
      </c>
      <c r="AG228" s="584">
        <v>7486</v>
      </c>
      <c r="AH228" s="235">
        <f t="shared" ref="AH228:AH236" si="358">ROUND(((AG228/AF228-1)*100), 1)</f>
        <v>76.400000000000006</v>
      </c>
    </row>
    <row r="229" spans="1:34">
      <c r="A229" s="3" t="s">
        <v>114</v>
      </c>
      <c r="B229" s="39" t="s">
        <v>54</v>
      </c>
      <c r="C229" s="182">
        <v>6399</v>
      </c>
      <c r="D229" s="182">
        <v>6695</v>
      </c>
      <c r="E229" s="344">
        <v>5514</v>
      </c>
      <c r="F229" s="40">
        <v>5895</v>
      </c>
      <c r="G229" s="608">
        <v>4469</v>
      </c>
      <c r="H229" s="589">
        <v>324</v>
      </c>
      <c r="I229" s="630">
        <v>378</v>
      </c>
      <c r="J229" s="226">
        <f t="shared" si="346"/>
        <v>16.7</v>
      </c>
      <c r="K229" s="359">
        <f t="shared" si="347"/>
        <v>248</v>
      </c>
      <c r="L229" s="366">
        <f t="shared" si="347"/>
        <v>299</v>
      </c>
      <c r="M229" s="235">
        <f t="shared" si="348"/>
        <v>20.6</v>
      </c>
      <c r="N229" s="589">
        <v>572</v>
      </c>
      <c r="O229" s="589">
        <v>677</v>
      </c>
      <c r="P229" s="235">
        <f t="shared" si="349"/>
        <v>18.399999999999999</v>
      </c>
      <c r="Q229" s="359">
        <f t="shared" si="350"/>
        <v>485</v>
      </c>
      <c r="R229" s="366">
        <f t="shared" si="350"/>
        <v>362</v>
      </c>
      <c r="S229" s="235">
        <f t="shared" si="351"/>
        <v>-25.4</v>
      </c>
      <c r="T229" s="710">
        <v>1057</v>
      </c>
      <c r="U229" s="589">
        <v>1039</v>
      </c>
      <c r="V229" s="235">
        <f t="shared" si="352"/>
        <v>-1.7</v>
      </c>
      <c r="W229" s="468">
        <f t="shared" si="353"/>
        <v>362</v>
      </c>
      <c r="X229" s="366">
        <f t="shared" si="353"/>
        <v>330</v>
      </c>
      <c r="Y229" s="235">
        <f t="shared" si="354"/>
        <v>-8.8000000000000007</v>
      </c>
      <c r="Z229" s="719">
        <v>1419</v>
      </c>
      <c r="AA229" s="630">
        <v>1369</v>
      </c>
      <c r="AB229" s="235">
        <f t="shared" si="355"/>
        <v>-3.5</v>
      </c>
      <c r="AC229" s="468">
        <f t="shared" si="356"/>
        <v>322</v>
      </c>
      <c r="AD229" s="366">
        <f t="shared" si="356"/>
        <v>273</v>
      </c>
      <c r="AE229" s="235">
        <f t="shared" si="357"/>
        <v>-15.2</v>
      </c>
      <c r="AF229" s="710">
        <v>1741</v>
      </c>
      <c r="AG229" s="589">
        <v>1642</v>
      </c>
      <c r="AH229" s="235">
        <f t="shared" si="358"/>
        <v>-5.7</v>
      </c>
    </row>
    <row r="230" spans="1:34">
      <c r="A230" s="3"/>
      <c r="B230" s="39" t="s">
        <v>407</v>
      </c>
      <c r="C230" s="182">
        <v>2801</v>
      </c>
      <c r="D230" s="182">
        <v>2080</v>
      </c>
      <c r="E230" s="344">
        <v>2312</v>
      </c>
      <c r="F230" s="40">
        <v>2549</v>
      </c>
      <c r="G230" s="608">
        <v>2809</v>
      </c>
      <c r="H230" s="589">
        <v>262</v>
      </c>
      <c r="I230" s="630">
        <v>186</v>
      </c>
      <c r="J230" s="226">
        <f t="shared" si="346"/>
        <v>-29</v>
      </c>
      <c r="K230" s="359">
        <f t="shared" si="347"/>
        <v>191</v>
      </c>
      <c r="L230" s="366">
        <f t="shared" si="347"/>
        <v>124</v>
      </c>
      <c r="M230" s="235">
        <f t="shared" si="348"/>
        <v>-35.1</v>
      </c>
      <c r="N230" s="589">
        <v>453</v>
      </c>
      <c r="O230" s="589">
        <v>310</v>
      </c>
      <c r="P230" s="235">
        <f t="shared" si="349"/>
        <v>-31.6</v>
      </c>
      <c r="Q230" s="359">
        <f t="shared" si="350"/>
        <v>206</v>
      </c>
      <c r="R230" s="366">
        <f t="shared" si="350"/>
        <v>174</v>
      </c>
      <c r="S230" s="235">
        <f t="shared" si="351"/>
        <v>-15.5</v>
      </c>
      <c r="T230" s="710">
        <v>659</v>
      </c>
      <c r="U230" s="589">
        <v>484</v>
      </c>
      <c r="V230" s="235">
        <f t="shared" si="352"/>
        <v>-26.6</v>
      </c>
      <c r="W230" s="468">
        <f t="shared" si="353"/>
        <v>286</v>
      </c>
      <c r="X230" s="366">
        <f t="shared" si="353"/>
        <v>220</v>
      </c>
      <c r="Y230" s="235">
        <f t="shared" si="354"/>
        <v>-23.1</v>
      </c>
      <c r="Z230" s="719">
        <v>945</v>
      </c>
      <c r="AA230" s="630">
        <v>704</v>
      </c>
      <c r="AB230" s="235">
        <f t="shared" si="355"/>
        <v>-25.5</v>
      </c>
      <c r="AC230" s="468">
        <f t="shared" si="356"/>
        <v>134</v>
      </c>
      <c r="AD230" s="366">
        <f t="shared" si="356"/>
        <v>143</v>
      </c>
      <c r="AE230" s="235">
        <f t="shared" si="357"/>
        <v>6.7</v>
      </c>
      <c r="AF230" s="710">
        <v>1079</v>
      </c>
      <c r="AG230" s="589">
        <v>847</v>
      </c>
      <c r="AH230" s="235">
        <f t="shared" si="358"/>
        <v>-21.5</v>
      </c>
    </row>
    <row r="231" spans="1:34">
      <c r="A231" s="3"/>
      <c r="B231" s="39" t="s">
        <v>48</v>
      </c>
      <c r="C231" s="182">
        <v>2867</v>
      </c>
      <c r="D231" s="182">
        <v>3329</v>
      </c>
      <c r="E231" s="344">
        <v>1959</v>
      </c>
      <c r="F231" s="40">
        <v>1880</v>
      </c>
      <c r="G231" s="608">
        <v>2139</v>
      </c>
      <c r="H231" s="589">
        <v>256</v>
      </c>
      <c r="I231" s="630">
        <v>218</v>
      </c>
      <c r="J231" s="226">
        <f t="shared" si="346"/>
        <v>-14.8</v>
      </c>
      <c r="K231" s="359">
        <f t="shared" si="347"/>
        <v>236</v>
      </c>
      <c r="L231" s="366">
        <f t="shared" si="347"/>
        <v>281</v>
      </c>
      <c r="M231" s="235">
        <f t="shared" si="348"/>
        <v>19.100000000000001</v>
      </c>
      <c r="N231" s="589">
        <v>492</v>
      </c>
      <c r="O231" s="589">
        <v>499</v>
      </c>
      <c r="P231" s="235">
        <f t="shared" si="349"/>
        <v>1.4</v>
      </c>
      <c r="Q231" s="359">
        <f t="shared" si="350"/>
        <v>155</v>
      </c>
      <c r="R231" s="366">
        <f t="shared" si="350"/>
        <v>143</v>
      </c>
      <c r="S231" s="235">
        <f t="shared" si="351"/>
        <v>-7.7</v>
      </c>
      <c r="T231" s="710">
        <v>647</v>
      </c>
      <c r="U231" s="589">
        <v>642</v>
      </c>
      <c r="V231" s="235">
        <f t="shared" si="352"/>
        <v>-0.8</v>
      </c>
      <c r="W231" s="468">
        <f t="shared" si="353"/>
        <v>180</v>
      </c>
      <c r="X231" s="366">
        <f t="shared" si="353"/>
        <v>242</v>
      </c>
      <c r="Y231" s="235">
        <f t="shared" si="354"/>
        <v>34.4</v>
      </c>
      <c r="Z231" s="719">
        <v>827</v>
      </c>
      <c r="AA231" s="630">
        <v>884</v>
      </c>
      <c r="AB231" s="235">
        <f t="shared" si="355"/>
        <v>6.9</v>
      </c>
      <c r="AC231" s="468">
        <f t="shared" si="356"/>
        <v>110</v>
      </c>
      <c r="AD231" s="366">
        <f t="shared" si="356"/>
        <v>152</v>
      </c>
      <c r="AE231" s="235">
        <f t="shared" si="357"/>
        <v>38.200000000000003</v>
      </c>
      <c r="AF231" s="710">
        <v>937</v>
      </c>
      <c r="AG231" s="589">
        <v>1036</v>
      </c>
      <c r="AH231" s="235">
        <f t="shared" si="358"/>
        <v>10.6</v>
      </c>
    </row>
    <row r="232" spans="1:34">
      <c r="A232" s="3"/>
      <c r="B232" s="39" t="s">
        <v>57</v>
      </c>
      <c r="C232" s="182">
        <v>1931</v>
      </c>
      <c r="D232" s="182">
        <v>1800</v>
      </c>
      <c r="E232" s="344">
        <v>1964</v>
      </c>
      <c r="F232" s="40">
        <v>2194</v>
      </c>
      <c r="G232" s="608">
        <v>1909</v>
      </c>
      <c r="H232" s="589">
        <v>105</v>
      </c>
      <c r="I232" s="630">
        <v>87</v>
      </c>
      <c r="J232" s="226">
        <f t="shared" si="346"/>
        <v>-17.100000000000001</v>
      </c>
      <c r="K232" s="359">
        <f t="shared" si="347"/>
        <v>185</v>
      </c>
      <c r="L232" s="366">
        <f t="shared" si="347"/>
        <v>71</v>
      </c>
      <c r="M232" s="235">
        <f t="shared" si="348"/>
        <v>-61.6</v>
      </c>
      <c r="N232" s="589">
        <v>290</v>
      </c>
      <c r="O232" s="589">
        <v>158</v>
      </c>
      <c r="P232" s="235">
        <f t="shared" si="349"/>
        <v>-45.5</v>
      </c>
      <c r="Q232" s="359">
        <f t="shared" si="350"/>
        <v>279</v>
      </c>
      <c r="R232" s="366">
        <f t="shared" si="350"/>
        <v>151</v>
      </c>
      <c r="S232" s="235">
        <f t="shared" si="351"/>
        <v>-45.9</v>
      </c>
      <c r="T232" s="710">
        <v>569</v>
      </c>
      <c r="U232" s="589">
        <v>309</v>
      </c>
      <c r="V232" s="235">
        <f t="shared" si="352"/>
        <v>-45.7</v>
      </c>
      <c r="W232" s="468">
        <f t="shared" si="353"/>
        <v>252</v>
      </c>
      <c r="X232" s="366">
        <f t="shared" si="353"/>
        <v>54</v>
      </c>
      <c r="Y232" s="235">
        <f t="shared" si="354"/>
        <v>-78.599999999999994</v>
      </c>
      <c r="Z232" s="719">
        <v>821</v>
      </c>
      <c r="AA232" s="630">
        <v>363</v>
      </c>
      <c r="AB232" s="235">
        <f t="shared" si="355"/>
        <v>-55.8</v>
      </c>
      <c r="AC232" s="468">
        <f t="shared" si="356"/>
        <v>132</v>
      </c>
      <c r="AD232" s="366">
        <f t="shared" si="356"/>
        <v>101</v>
      </c>
      <c r="AE232" s="235">
        <f t="shared" si="357"/>
        <v>-23.5</v>
      </c>
      <c r="AF232" s="710">
        <v>953</v>
      </c>
      <c r="AG232" s="589">
        <v>464</v>
      </c>
      <c r="AH232" s="235">
        <f t="shared" si="358"/>
        <v>-51.3</v>
      </c>
    </row>
    <row r="233" spans="1:34">
      <c r="A233" s="3"/>
      <c r="B233" s="39" t="s">
        <v>43</v>
      </c>
      <c r="C233" s="182">
        <v>3201</v>
      </c>
      <c r="D233" s="182">
        <v>2734</v>
      </c>
      <c r="E233" s="344">
        <v>3583</v>
      </c>
      <c r="F233" s="40">
        <v>2906</v>
      </c>
      <c r="G233" s="608">
        <v>1699</v>
      </c>
      <c r="H233" s="589">
        <v>125</v>
      </c>
      <c r="I233" s="630">
        <v>75</v>
      </c>
      <c r="J233" s="226">
        <f t="shared" si="346"/>
        <v>-40</v>
      </c>
      <c r="K233" s="359">
        <f t="shared" si="347"/>
        <v>248</v>
      </c>
      <c r="L233" s="366">
        <f t="shared" si="347"/>
        <v>103</v>
      </c>
      <c r="M233" s="235">
        <f t="shared" si="348"/>
        <v>-58.5</v>
      </c>
      <c r="N233" s="589">
        <v>373</v>
      </c>
      <c r="O233" s="589">
        <v>178</v>
      </c>
      <c r="P233" s="235">
        <f t="shared" si="349"/>
        <v>-52.3</v>
      </c>
      <c r="Q233" s="359">
        <f t="shared" si="350"/>
        <v>142</v>
      </c>
      <c r="R233" s="366">
        <f t="shared" si="350"/>
        <v>115</v>
      </c>
      <c r="S233" s="235">
        <f t="shared" si="351"/>
        <v>-19</v>
      </c>
      <c r="T233" s="710">
        <v>515</v>
      </c>
      <c r="U233" s="589">
        <v>293</v>
      </c>
      <c r="V233" s="235">
        <f t="shared" si="352"/>
        <v>-43.1</v>
      </c>
      <c r="W233" s="468">
        <f t="shared" si="353"/>
        <v>196</v>
      </c>
      <c r="X233" s="366">
        <f t="shared" si="353"/>
        <v>234</v>
      </c>
      <c r="Y233" s="235">
        <f t="shared" si="354"/>
        <v>19.399999999999999</v>
      </c>
      <c r="Z233" s="719">
        <v>711</v>
      </c>
      <c r="AA233" s="630">
        <v>527</v>
      </c>
      <c r="AB233" s="235">
        <f t="shared" si="355"/>
        <v>-25.9</v>
      </c>
      <c r="AC233" s="468">
        <f t="shared" si="356"/>
        <v>161</v>
      </c>
      <c r="AD233" s="366">
        <f t="shared" si="356"/>
        <v>166</v>
      </c>
      <c r="AE233" s="235">
        <f t="shared" si="357"/>
        <v>3.1</v>
      </c>
      <c r="AF233" s="710">
        <v>872</v>
      </c>
      <c r="AG233" s="589">
        <v>693</v>
      </c>
      <c r="AH233" s="235">
        <f t="shared" si="358"/>
        <v>-20.5</v>
      </c>
    </row>
    <row r="234" spans="1:34">
      <c r="A234" s="3"/>
      <c r="B234" s="39" t="s">
        <v>408</v>
      </c>
      <c r="C234" s="182">
        <v>1185</v>
      </c>
      <c r="D234" s="182">
        <v>1455</v>
      </c>
      <c r="E234" s="344">
        <v>1753</v>
      </c>
      <c r="F234" s="40">
        <v>1875</v>
      </c>
      <c r="G234" s="608">
        <v>1550</v>
      </c>
      <c r="H234" s="589">
        <v>64</v>
      </c>
      <c r="I234" s="630">
        <v>63</v>
      </c>
      <c r="J234" s="226">
        <f t="shared" si="346"/>
        <v>-1.6</v>
      </c>
      <c r="K234" s="359">
        <f t="shared" si="347"/>
        <v>253</v>
      </c>
      <c r="L234" s="366">
        <f t="shared" si="347"/>
        <v>97</v>
      </c>
      <c r="M234" s="235">
        <f t="shared" si="348"/>
        <v>-61.7</v>
      </c>
      <c r="N234" s="589">
        <v>317</v>
      </c>
      <c r="O234" s="589">
        <v>160</v>
      </c>
      <c r="P234" s="235">
        <f t="shared" si="349"/>
        <v>-49.5</v>
      </c>
      <c r="Q234" s="359">
        <f t="shared" si="350"/>
        <v>160</v>
      </c>
      <c r="R234" s="366">
        <f t="shared" si="350"/>
        <v>227</v>
      </c>
      <c r="S234" s="235">
        <f t="shared" si="351"/>
        <v>41.9</v>
      </c>
      <c r="T234" s="710">
        <v>477</v>
      </c>
      <c r="U234" s="589">
        <v>387</v>
      </c>
      <c r="V234" s="235">
        <f t="shared" si="352"/>
        <v>-18.899999999999999</v>
      </c>
      <c r="W234" s="468">
        <f t="shared" si="353"/>
        <v>131</v>
      </c>
      <c r="X234" s="366">
        <f t="shared" si="353"/>
        <v>340</v>
      </c>
      <c r="Y234" s="235">
        <f t="shared" si="354"/>
        <v>159.5</v>
      </c>
      <c r="Z234" s="719">
        <v>608</v>
      </c>
      <c r="AA234" s="630">
        <v>727</v>
      </c>
      <c r="AB234" s="235">
        <f t="shared" si="355"/>
        <v>19.600000000000001</v>
      </c>
      <c r="AC234" s="468">
        <f t="shared" si="356"/>
        <v>30</v>
      </c>
      <c r="AD234" s="366">
        <f t="shared" si="356"/>
        <v>101</v>
      </c>
      <c r="AE234" s="235">
        <f t="shared" si="357"/>
        <v>236.7</v>
      </c>
      <c r="AF234" s="710">
        <v>638</v>
      </c>
      <c r="AG234" s="589">
        <v>828</v>
      </c>
      <c r="AH234" s="235">
        <f t="shared" si="358"/>
        <v>29.8</v>
      </c>
    </row>
    <row r="235" spans="1:34">
      <c r="A235" s="3"/>
      <c r="B235" s="39" t="s">
        <v>45</v>
      </c>
      <c r="C235" s="182">
        <v>3694</v>
      </c>
      <c r="D235" s="182">
        <v>4688</v>
      </c>
      <c r="E235" s="344">
        <v>3727</v>
      </c>
      <c r="F235" s="40">
        <v>1856</v>
      </c>
      <c r="G235" s="608">
        <v>1525</v>
      </c>
      <c r="H235" s="589">
        <v>237</v>
      </c>
      <c r="I235" s="630">
        <v>284</v>
      </c>
      <c r="J235" s="226">
        <f t="shared" si="346"/>
        <v>19.8</v>
      </c>
      <c r="K235" s="359">
        <f t="shared" si="347"/>
        <v>200</v>
      </c>
      <c r="L235" s="366">
        <f t="shared" si="347"/>
        <v>132</v>
      </c>
      <c r="M235" s="235">
        <f t="shared" si="348"/>
        <v>-34</v>
      </c>
      <c r="N235" s="589">
        <v>437</v>
      </c>
      <c r="O235" s="589">
        <v>416</v>
      </c>
      <c r="P235" s="235">
        <f t="shared" si="349"/>
        <v>-4.8</v>
      </c>
      <c r="Q235" s="587">
        <f t="shared" ref="Q235:Q251" si="359">T235-N235</f>
        <v>199</v>
      </c>
      <c r="R235" s="589">
        <f t="shared" ref="R235:R251" si="360">U235-O235</f>
        <v>191</v>
      </c>
      <c r="S235" s="571">
        <f t="shared" ref="S235:S252" si="361">ROUND(((R235/Q235-1)*100), 1)</f>
        <v>-4</v>
      </c>
      <c r="T235" s="710">
        <v>636</v>
      </c>
      <c r="U235" s="589">
        <v>607</v>
      </c>
      <c r="V235" s="571">
        <f t="shared" si="352"/>
        <v>-4.5999999999999996</v>
      </c>
      <c r="W235" s="468">
        <f t="shared" si="353"/>
        <v>40</v>
      </c>
      <c r="X235" s="366">
        <f t="shared" si="353"/>
        <v>11</v>
      </c>
      <c r="Y235" s="235">
        <f t="shared" si="354"/>
        <v>-72.5</v>
      </c>
      <c r="Z235" s="719">
        <v>676</v>
      </c>
      <c r="AA235" s="630">
        <v>618</v>
      </c>
      <c r="AB235" s="235">
        <f t="shared" si="355"/>
        <v>-8.6</v>
      </c>
      <c r="AC235" s="587">
        <f t="shared" ref="AC235:AC241" si="362">AF235-Z235</f>
        <v>0</v>
      </c>
      <c r="AD235" s="589">
        <f t="shared" ref="AD235:AD241" si="363">AG235-AA235</f>
        <v>88</v>
      </c>
      <c r="AE235" s="579">
        <v>0</v>
      </c>
      <c r="AF235" s="710">
        <v>676</v>
      </c>
      <c r="AG235" s="589">
        <v>706</v>
      </c>
      <c r="AH235" s="235">
        <f t="shared" si="358"/>
        <v>4.4000000000000004</v>
      </c>
    </row>
    <row r="236" spans="1:34" s="605" customFormat="1">
      <c r="A236" s="675"/>
      <c r="B236" s="611" t="s">
        <v>513</v>
      </c>
      <c r="C236" s="613">
        <v>3</v>
      </c>
      <c r="D236" s="613">
        <v>19</v>
      </c>
      <c r="E236" s="583">
        <v>34</v>
      </c>
      <c r="F236" s="608">
        <v>140</v>
      </c>
      <c r="G236" s="608">
        <v>1410</v>
      </c>
      <c r="H236" s="589">
        <v>162</v>
      </c>
      <c r="I236" s="630">
        <v>167</v>
      </c>
      <c r="J236" s="571">
        <f t="shared" si="346"/>
        <v>3.1</v>
      </c>
      <c r="K236" s="587">
        <f t="shared" ref="K236:K251" si="364">N236-H236</f>
        <v>162</v>
      </c>
      <c r="L236" s="589">
        <f t="shared" ref="L236:L251" si="365">O236-I236</f>
        <v>96</v>
      </c>
      <c r="M236" s="571">
        <f t="shared" ref="M236:M251" si="366">ROUND(((L236/K236-1)*100), 1)</f>
        <v>-40.700000000000003</v>
      </c>
      <c r="N236" s="589">
        <v>324</v>
      </c>
      <c r="O236" s="589">
        <v>263</v>
      </c>
      <c r="P236" s="571">
        <f t="shared" si="349"/>
        <v>-18.8</v>
      </c>
      <c r="Q236" s="587">
        <f t="shared" si="359"/>
        <v>183</v>
      </c>
      <c r="R236" s="589">
        <f t="shared" si="360"/>
        <v>89</v>
      </c>
      <c r="S236" s="571">
        <f t="shared" si="361"/>
        <v>-51.4</v>
      </c>
      <c r="T236" s="710">
        <v>507</v>
      </c>
      <c r="U236" s="589">
        <v>352</v>
      </c>
      <c r="V236" s="571">
        <f t="shared" si="352"/>
        <v>-30.6</v>
      </c>
      <c r="W236" s="587">
        <f t="shared" ref="W236:W249" si="367">Z236-T236</f>
        <v>277</v>
      </c>
      <c r="X236" s="589">
        <f t="shared" ref="X236:X249" si="368">AA236-U236</f>
        <v>103</v>
      </c>
      <c r="Y236" s="571">
        <f t="shared" ref="Y236:Y249" si="369">ROUND(((X236/W236-1)*100), 1)</f>
        <v>-62.8</v>
      </c>
      <c r="Z236" s="719">
        <v>784</v>
      </c>
      <c r="AA236" s="630">
        <v>455</v>
      </c>
      <c r="AB236" s="571">
        <f t="shared" si="355"/>
        <v>-42</v>
      </c>
      <c r="AC236" s="587">
        <f t="shared" si="362"/>
        <v>155</v>
      </c>
      <c r="AD236" s="589">
        <f t="shared" si="363"/>
        <v>44</v>
      </c>
      <c r="AE236" s="571">
        <f t="shared" ref="AE236:AE241" si="370">ROUND(((AD236/AC236-1)*100), 1)</f>
        <v>-71.599999999999994</v>
      </c>
      <c r="AF236" s="710">
        <v>939</v>
      </c>
      <c r="AG236" s="589">
        <v>499</v>
      </c>
      <c r="AH236" s="571">
        <f t="shared" si="358"/>
        <v>-46.9</v>
      </c>
    </row>
    <row r="237" spans="1:34">
      <c r="A237" s="3"/>
      <c r="B237" s="39" t="s">
        <v>409</v>
      </c>
      <c r="C237" s="182">
        <v>1304</v>
      </c>
      <c r="D237" s="182">
        <v>1608</v>
      </c>
      <c r="E237" s="344">
        <v>1519</v>
      </c>
      <c r="F237" s="40">
        <v>1490</v>
      </c>
      <c r="G237" s="608">
        <v>1188</v>
      </c>
      <c r="H237" s="589">
        <v>105</v>
      </c>
      <c r="I237" s="630">
        <v>61</v>
      </c>
      <c r="J237" s="226">
        <f>ROUND(((I237/H237-1)*100), 1)</f>
        <v>-41.9</v>
      </c>
      <c r="K237" s="587">
        <f t="shared" si="364"/>
        <v>121</v>
      </c>
      <c r="L237" s="589">
        <f t="shared" si="365"/>
        <v>108</v>
      </c>
      <c r="M237" s="571">
        <f t="shared" si="366"/>
        <v>-10.7</v>
      </c>
      <c r="N237" s="589">
        <v>226</v>
      </c>
      <c r="O237" s="589">
        <v>169</v>
      </c>
      <c r="P237" s="235">
        <f t="shared" ref="P237:P252" si="371">ROUND(((O237/N237-1)*100), 1)</f>
        <v>-25.2</v>
      </c>
      <c r="Q237" s="587">
        <f t="shared" si="359"/>
        <v>75</v>
      </c>
      <c r="R237" s="589">
        <f t="shared" si="360"/>
        <v>102</v>
      </c>
      <c r="S237" s="571">
        <f t="shared" si="361"/>
        <v>36</v>
      </c>
      <c r="T237" s="710">
        <v>301</v>
      </c>
      <c r="U237" s="589">
        <v>271</v>
      </c>
      <c r="V237" s="571">
        <f t="shared" si="352"/>
        <v>-10</v>
      </c>
      <c r="W237" s="587">
        <f t="shared" si="367"/>
        <v>117</v>
      </c>
      <c r="X237" s="589">
        <f t="shared" si="368"/>
        <v>133</v>
      </c>
      <c r="Y237" s="571">
        <f t="shared" si="369"/>
        <v>13.7</v>
      </c>
      <c r="Z237" s="719">
        <v>418</v>
      </c>
      <c r="AA237" s="630">
        <v>404</v>
      </c>
      <c r="AB237" s="571">
        <f t="shared" si="355"/>
        <v>-3.3</v>
      </c>
      <c r="AC237" s="587">
        <f t="shared" si="362"/>
        <v>130</v>
      </c>
      <c r="AD237" s="589">
        <f t="shared" si="363"/>
        <v>83</v>
      </c>
      <c r="AE237" s="571">
        <f t="shared" si="370"/>
        <v>-36.200000000000003</v>
      </c>
      <c r="AF237" s="710">
        <v>548</v>
      </c>
      <c r="AG237" s="589">
        <v>487</v>
      </c>
      <c r="AH237" s="235">
        <f t="shared" ref="AH237:AH252" si="372">ROUND(((AG237/AF237-1)*100), 1)</f>
        <v>-11.1</v>
      </c>
    </row>
    <row r="238" spans="1:34">
      <c r="A238" s="3"/>
      <c r="B238" s="39" t="s">
        <v>47</v>
      </c>
      <c r="C238" s="182">
        <v>1755</v>
      </c>
      <c r="D238" s="182">
        <v>1935</v>
      </c>
      <c r="E238" s="344">
        <v>1837</v>
      </c>
      <c r="F238" s="40">
        <v>1499</v>
      </c>
      <c r="G238" s="608">
        <v>1140</v>
      </c>
      <c r="H238" s="589">
        <v>98</v>
      </c>
      <c r="I238" s="630">
        <v>84</v>
      </c>
      <c r="J238" s="226">
        <f>ROUND(((I238/H238-1)*100), 1)</f>
        <v>-14.3</v>
      </c>
      <c r="K238" s="587">
        <f t="shared" si="364"/>
        <v>78</v>
      </c>
      <c r="L238" s="589">
        <f t="shared" si="365"/>
        <v>47</v>
      </c>
      <c r="M238" s="571">
        <f t="shared" si="366"/>
        <v>-39.700000000000003</v>
      </c>
      <c r="N238" s="589">
        <v>176</v>
      </c>
      <c r="O238" s="589">
        <v>131</v>
      </c>
      <c r="P238" s="235">
        <f t="shared" si="371"/>
        <v>-25.6</v>
      </c>
      <c r="Q238" s="587">
        <f t="shared" si="359"/>
        <v>103</v>
      </c>
      <c r="R238" s="589">
        <f t="shared" si="360"/>
        <v>78</v>
      </c>
      <c r="S238" s="571">
        <f t="shared" si="361"/>
        <v>-24.3</v>
      </c>
      <c r="T238" s="710">
        <v>279</v>
      </c>
      <c r="U238" s="589">
        <v>209</v>
      </c>
      <c r="V238" s="571">
        <f t="shared" si="352"/>
        <v>-25.1</v>
      </c>
      <c r="W238" s="587">
        <f t="shared" si="367"/>
        <v>73</v>
      </c>
      <c r="X238" s="589">
        <f t="shared" si="368"/>
        <v>106</v>
      </c>
      <c r="Y238" s="571">
        <f t="shared" si="369"/>
        <v>45.2</v>
      </c>
      <c r="Z238" s="719">
        <v>352</v>
      </c>
      <c r="AA238" s="630">
        <v>315</v>
      </c>
      <c r="AB238" s="571">
        <f t="shared" si="355"/>
        <v>-10.5</v>
      </c>
      <c r="AC238" s="587">
        <f t="shared" si="362"/>
        <v>139</v>
      </c>
      <c r="AD238" s="589">
        <f t="shared" si="363"/>
        <v>64</v>
      </c>
      <c r="AE238" s="571">
        <f t="shared" si="370"/>
        <v>-54</v>
      </c>
      <c r="AF238" s="710">
        <v>491</v>
      </c>
      <c r="AG238" s="589">
        <v>379</v>
      </c>
      <c r="AH238" s="235">
        <f t="shared" si="372"/>
        <v>-22.8</v>
      </c>
    </row>
    <row r="239" spans="1:34">
      <c r="A239" s="3"/>
      <c r="B239" s="39" t="s">
        <v>410</v>
      </c>
      <c r="C239" s="182">
        <v>766</v>
      </c>
      <c r="D239" s="182">
        <v>1226</v>
      </c>
      <c r="E239" s="344">
        <v>1218</v>
      </c>
      <c r="F239" s="40">
        <v>1653</v>
      </c>
      <c r="G239" s="608">
        <v>1131</v>
      </c>
      <c r="H239" s="589">
        <v>107</v>
      </c>
      <c r="I239" s="630">
        <v>104</v>
      </c>
      <c r="J239" s="226">
        <f>ROUND(((I239/H239-1)*100), 1)</f>
        <v>-2.8</v>
      </c>
      <c r="K239" s="587">
        <f t="shared" si="364"/>
        <v>139</v>
      </c>
      <c r="L239" s="589">
        <f t="shared" si="365"/>
        <v>38</v>
      </c>
      <c r="M239" s="571">
        <f t="shared" si="366"/>
        <v>-72.7</v>
      </c>
      <c r="N239" s="589">
        <v>246</v>
      </c>
      <c r="O239" s="589">
        <v>142</v>
      </c>
      <c r="P239" s="235">
        <f t="shared" si="371"/>
        <v>-42.3</v>
      </c>
      <c r="Q239" s="587">
        <f t="shared" si="359"/>
        <v>105</v>
      </c>
      <c r="R239" s="589">
        <f t="shared" si="360"/>
        <v>115</v>
      </c>
      <c r="S239" s="571">
        <f t="shared" si="361"/>
        <v>9.5</v>
      </c>
      <c r="T239" s="710">
        <v>351</v>
      </c>
      <c r="U239" s="589">
        <v>257</v>
      </c>
      <c r="V239" s="571">
        <f t="shared" si="352"/>
        <v>-26.8</v>
      </c>
      <c r="W239" s="587">
        <f t="shared" si="367"/>
        <v>62</v>
      </c>
      <c r="X239" s="589">
        <f t="shared" si="368"/>
        <v>61</v>
      </c>
      <c r="Y239" s="571">
        <f t="shared" si="369"/>
        <v>-1.6</v>
      </c>
      <c r="Z239" s="719">
        <v>413</v>
      </c>
      <c r="AA239" s="630">
        <v>318</v>
      </c>
      <c r="AB239" s="571">
        <f t="shared" si="355"/>
        <v>-23</v>
      </c>
      <c r="AC239" s="587">
        <f t="shared" si="362"/>
        <v>60</v>
      </c>
      <c r="AD239" s="589">
        <f t="shared" si="363"/>
        <v>38</v>
      </c>
      <c r="AE239" s="571">
        <f t="shared" si="370"/>
        <v>-36.700000000000003</v>
      </c>
      <c r="AF239" s="710">
        <v>473</v>
      </c>
      <c r="AG239" s="589">
        <v>356</v>
      </c>
      <c r="AH239" s="235">
        <f t="shared" si="372"/>
        <v>-24.7</v>
      </c>
    </row>
    <row r="240" spans="1:34">
      <c r="A240" s="3"/>
      <c r="B240" s="39" t="s">
        <v>138</v>
      </c>
      <c r="C240" s="182">
        <v>708</v>
      </c>
      <c r="D240" s="182">
        <v>241</v>
      </c>
      <c r="E240" s="344">
        <v>637</v>
      </c>
      <c r="F240" s="40">
        <v>741</v>
      </c>
      <c r="G240" s="608">
        <v>741</v>
      </c>
      <c r="H240" s="589">
        <v>41</v>
      </c>
      <c r="I240" s="630">
        <v>20</v>
      </c>
      <c r="J240" s="571">
        <f t="shared" ref="J240:J250" si="373">ROUND(((I240/H240-1)*100), 1)</f>
        <v>-51.2</v>
      </c>
      <c r="K240" s="587">
        <f t="shared" si="364"/>
        <v>117</v>
      </c>
      <c r="L240" s="589">
        <f t="shared" si="365"/>
        <v>62</v>
      </c>
      <c r="M240" s="571">
        <f t="shared" si="366"/>
        <v>-47</v>
      </c>
      <c r="N240" s="589">
        <v>158</v>
      </c>
      <c r="O240" s="589">
        <v>82</v>
      </c>
      <c r="P240" s="235">
        <f t="shared" si="371"/>
        <v>-48.1</v>
      </c>
      <c r="Q240" s="587">
        <f t="shared" si="359"/>
        <v>119</v>
      </c>
      <c r="R240" s="589">
        <f t="shared" si="360"/>
        <v>20</v>
      </c>
      <c r="S240" s="571">
        <f t="shared" si="361"/>
        <v>-83.2</v>
      </c>
      <c r="T240" s="710">
        <v>277</v>
      </c>
      <c r="U240" s="589">
        <v>102</v>
      </c>
      <c r="V240" s="571">
        <f t="shared" si="352"/>
        <v>-63.2</v>
      </c>
      <c r="W240" s="587">
        <f t="shared" si="367"/>
        <v>30</v>
      </c>
      <c r="X240" s="589">
        <f t="shared" si="368"/>
        <v>52</v>
      </c>
      <c r="Y240" s="571">
        <f t="shared" si="369"/>
        <v>73.3</v>
      </c>
      <c r="Z240" s="719">
        <v>307</v>
      </c>
      <c r="AA240" s="630">
        <v>154</v>
      </c>
      <c r="AB240" s="571">
        <f t="shared" si="355"/>
        <v>-49.8</v>
      </c>
      <c r="AC240" s="587">
        <f t="shared" si="362"/>
        <v>84</v>
      </c>
      <c r="AD240" s="589">
        <f t="shared" si="363"/>
        <v>83</v>
      </c>
      <c r="AE240" s="571">
        <f t="shared" si="370"/>
        <v>-1.2</v>
      </c>
      <c r="AF240" s="710">
        <v>391</v>
      </c>
      <c r="AG240" s="589">
        <v>237</v>
      </c>
      <c r="AH240" s="235">
        <f t="shared" si="372"/>
        <v>-39.4</v>
      </c>
    </row>
    <row r="241" spans="1:34">
      <c r="A241" s="3"/>
      <c r="B241" s="39" t="s">
        <v>51</v>
      </c>
      <c r="C241" s="182">
        <v>1545</v>
      </c>
      <c r="D241" s="182">
        <v>1449</v>
      </c>
      <c r="E241" s="344">
        <v>906</v>
      </c>
      <c r="F241" s="40">
        <v>810</v>
      </c>
      <c r="G241" s="608">
        <v>642</v>
      </c>
      <c r="H241" s="589">
        <v>63</v>
      </c>
      <c r="I241" s="630">
        <v>78</v>
      </c>
      <c r="J241" s="571">
        <f t="shared" si="373"/>
        <v>23.8</v>
      </c>
      <c r="K241" s="587">
        <f t="shared" si="364"/>
        <v>82</v>
      </c>
      <c r="L241" s="589">
        <f t="shared" si="365"/>
        <v>44</v>
      </c>
      <c r="M241" s="571">
        <f t="shared" si="366"/>
        <v>-46.3</v>
      </c>
      <c r="N241" s="589">
        <v>145</v>
      </c>
      <c r="O241" s="589">
        <v>122</v>
      </c>
      <c r="P241" s="235">
        <f t="shared" si="371"/>
        <v>-15.9</v>
      </c>
      <c r="Q241" s="587">
        <f t="shared" si="359"/>
        <v>90</v>
      </c>
      <c r="R241" s="589">
        <f t="shared" si="360"/>
        <v>46</v>
      </c>
      <c r="S241" s="571">
        <f t="shared" si="361"/>
        <v>-48.9</v>
      </c>
      <c r="T241" s="710">
        <v>235</v>
      </c>
      <c r="U241" s="589">
        <v>168</v>
      </c>
      <c r="V241" s="571">
        <f t="shared" si="352"/>
        <v>-28.5</v>
      </c>
      <c r="W241" s="587">
        <f t="shared" si="367"/>
        <v>71</v>
      </c>
      <c r="X241" s="589">
        <f t="shared" si="368"/>
        <v>54</v>
      </c>
      <c r="Y241" s="571">
        <f t="shared" si="369"/>
        <v>-23.9</v>
      </c>
      <c r="Z241" s="719">
        <v>306</v>
      </c>
      <c r="AA241" s="630">
        <v>222</v>
      </c>
      <c r="AB241" s="571">
        <f t="shared" si="355"/>
        <v>-27.5</v>
      </c>
      <c r="AC241" s="587">
        <f t="shared" si="362"/>
        <v>15</v>
      </c>
      <c r="AD241" s="589">
        <f t="shared" si="363"/>
        <v>50</v>
      </c>
      <c r="AE241" s="571">
        <f t="shared" si="370"/>
        <v>233.3</v>
      </c>
      <c r="AF241" s="710">
        <v>321</v>
      </c>
      <c r="AG241" s="589">
        <v>272</v>
      </c>
      <c r="AH241" s="235">
        <f t="shared" si="372"/>
        <v>-15.3</v>
      </c>
    </row>
    <row r="242" spans="1:34">
      <c r="A242" s="3"/>
      <c r="B242" s="39" t="s">
        <v>50</v>
      </c>
      <c r="C242" s="182">
        <v>387</v>
      </c>
      <c r="D242" s="182">
        <v>355</v>
      </c>
      <c r="E242" s="344">
        <v>395</v>
      </c>
      <c r="F242" s="40">
        <v>469</v>
      </c>
      <c r="G242" s="608">
        <v>639</v>
      </c>
      <c r="H242" s="589">
        <v>25</v>
      </c>
      <c r="I242" s="630">
        <v>46</v>
      </c>
      <c r="J242" s="571">
        <f t="shared" si="373"/>
        <v>84</v>
      </c>
      <c r="K242" s="587">
        <f t="shared" si="364"/>
        <v>142</v>
      </c>
      <c r="L242" s="589">
        <f t="shared" si="365"/>
        <v>53</v>
      </c>
      <c r="M242" s="571">
        <f t="shared" si="366"/>
        <v>-62.7</v>
      </c>
      <c r="N242" s="589">
        <v>167</v>
      </c>
      <c r="O242" s="589">
        <v>99</v>
      </c>
      <c r="P242" s="235">
        <f t="shared" si="371"/>
        <v>-40.700000000000003</v>
      </c>
      <c r="Q242" s="587">
        <f t="shared" si="359"/>
        <v>158</v>
      </c>
      <c r="R242" s="589">
        <f t="shared" si="360"/>
        <v>69</v>
      </c>
      <c r="S242" s="571">
        <f t="shared" si="361"/>
        <v>-56.3</v>
      </c>
      <c r="T242" s="710">
        <v>325</v>
      </c>
      <c r="U242" s="589">
        <v>168</v>
      </c>
      <c r="V242" s="571">
        <f t="shared" si="352"/>
        <v>-48.3</v>
      </c>
      <c r="W242" s="587">
        <f t="shared" si="367"/>
        <v>23</v>
      </c>
      <c r="X242" s="589">
        <f t="shared" si="368"/>
        <v>1</v>
      </c>
      <c r="Y242" s="571">
        <f t="shared" si="369"/>
        <v>-95.7</v>
      </c>
      <c r="Z242" s="719">
        <v>348</v>
      </c>
      <c r="AA242" s="630">
        <v>169</v>
      </c>
      <c r="AB242" s="571">
        <f t="shared" si="355"/>
        <v>-51.4</v>
      </c>
      <c r="AC242" s="468">
        <f t="shared" ref="AC242:AC252" si="374">AF242-Z242</f>
        <v>42</v>
      </c>
      <c r="AD242" s="366">
        <f t="shared" ref="AD242:AD252" si="375">AG242-AA242</f>
        <v>37</v>
      </c>
      <c r="AE242" s="235">
        <f t="shared" ref="AE242:AE252" si="376">ROUND(((AD242/AC242-1)*100), 1)</f>
        <v>-11.9</v>
      </c>
      <c r="AF242" s="710">
        <v>390</v>
      </c>
      <c r="AG242" s="589">
        <v>206</v>
      </c>
      <c r="AH242" s="235">
        <f t="shared" si="372"/>
        <v>-47.2</v>
      </c>
    </row>
    <row r="243" spans="1:34">
      <c r="A243" s="3"/>
      <c r="B243" s="39" t="s">
        <v>44</v>
      </c>
      <c r="C243" s="182">
        <v>563</v>
      </c>
      <c r="D243" s="182">
        <v>565</v>
      </c>
      <c r="E243" s="344">
        <v>507</v>
      </c>
      <c r="F243" s="40">
        <v>432</v>
      </c>
      <c r="G243" s="608">
        <v>628</v>
      </c>
      <c r="H243" s="589">
        <v>67</v>
      </c>
      <c r="I243" s="630">
        <v>38</v>
      </c>
      <c r="J243" s="571">
        <f t="shared" si="373"/>
        <v>-43.3</v>
      </c>
      <c r="K243" s="587">
        <f t="shared" si="364"/>
        <v>64</v>
      </c>
      <c r="L243" s="589">
        <f t="shared" si="365"/>
        <v>26</v>
      </c>
      <c r="M243" s="571">
        <f t="shared" si="366"/>
        <v>-59.4</v>
      </c>
      <c r="N243" s="589">
        <v>131</v>
      </c>
      <c r="O243" s="589">
        <v>64</v>
      </c>
      <c r="P243" s="235">
        <f t="shared" si="371"/>
        <v>-51.1</v>
      </c>
      <c r="Q243" s="587">
        <f t="shared" si="359"/>
        <v>78</v>
      </c>
      <c r="R243" s="589">
        <f t="shared" si="360"/>
        <v>63</v>
      </c>
      <c r="S243" s="571">
        <f t="shared" si="361"/>
        <v>-19.2</v>
      </c>
      <c r="T243" s="710">
        <v>209</v>
      </c>
      <c r="U243" s="589">
        <v>127</v>
      </c>
      <c r="V243" s="571">
        <f t="shared" si="352"/>
        <v>-39.200000000000003</v>
      </c>
      <c r="W243" s="587">
        <f t="shared" si="367"/>
        <v>52</v>
      </c>
      <c r="X243" s="589">
        <f t="shared" si="368"/>
        <v>4</v>
      </c>
      <c r="Y243" s="571">
        <f t="shared" si="369"/>
        <v>-92.3</v>
      </c>
      <c r="Z243" s="719">
        <v>261</v>
      </c>
      <c r="AA243" s="630">
        <v>131</v>
      </c>
      <c r="AB243" s="571">
        <f t="shared" si="355"/>
        <v>-49.8</v>
      </c>
      <c r="AC243" s="468">
        <f t="shared" si="374"/>
        <v>32</v>
      </c>
      <c r="AD243" s="366">
        <f t="shared" si="375"/>
        <v>27</v>
      </c>
      <c r="AE243" s="235">
        <f t="shared" si="376"/>
        <v>-15.6</v>
      </c>
      <c r="AF243" s="710">
        <v>293</v>
      </c>
      <c r="AG243" s="589">
        <v>158</v>
      </c>
      <c r="AH243" s="235">
        <f t="shared" si="372"/>
        <v>-46.1</v>
      </c>
    </row>
    <row r="244" spans="1:34">
      <c r="A244" s="3"/>
      <c r="B244" s="39" t="s">
        <v>413</v>
      </c>
      <c r="C244" s="182">
        <v>283</v>
      </c>
      <c r="D244" s="182">
        <v>224</v>
      </c>
      <c r="E244" s="344">
        <v>311</v>
      </c>
      <c r="F244" s="40">
        <v>517</v>
      </c>
      <c r="G244" s="608">
        <v>492</v>
      </c>
      <c r="H244" s="589">
        <v>36</v>
      </c>
      <c r="I244" s="630">
        <v>17</v>
      </c>
      <c r="J244" s="571">
        <f t="shared" si="373"/>
        <v>-52.8</v>
      </c>
      <c r="K244" s="587">
        <f t="shared" si="364"/>
        <v>36</v>
      </c>
      <c r="L244" s="589">
        <f t="shared" si="365"/>
        <v>39</v>
      </c>
      <c r="M244" s="571">
        <f t="shared" si="366"/>
        <v>8.3000000000000007</v>
      </c>
      <c r="N244" s="589">
        <v>72</v>
      </c>
      <c r="O244" s="589">
        <v>56</v>
      </c>
      <c r="P244" s="235">
        <f t="shared" si="371"/>
        <v>-22.2</v>
      </c>
      <c r="Q244" s="587">
        <f t="shared" si="359"/>
        <v>80</v>
      </c>
      <c r="R244" s="589">
        <f t="shared" si="360"/>
        <v>0</v>
      </c>
      <c r="S244" s="571">
        <f t="shared" si="361"/>
        <v>-100</v>
      </c>
      <c r="T244" s="710">
        <v>152</v>
      </c>
      <c r="U244" s="589">
        <v>56</v>
      </c>
      <c r="V244" s="235">
        <f t="shared" ref="V244:V252" si="377">ROUND(((U244/T244-1)*100), 1)</f>
        <v>-63.2</v>
      </c>
      <c r="W244" s="587">
        <f t="shared" si="367"/>
        <v>126</v>
      </c>
      <c r="X244" s="589">
        <f t="shared" si="368"/>
        <v>64</v>
      </c>
      <c r="Y244" s="571">
        <f t="shared" si="369"/>
        <v>-49.2</v>
      </c>
      <c r="Z244" s="719">
        <v>278</v>
      </c>
      <c r="AA244" s="630">
        <v>120</v>
      </c>
      <c r="AB244" s="571">
        <f t="shared" si="355"/>
        <v>-56.8</v>
      </c>
      <c r="AC244" s="468">
        <f t="shared" si="374"/>
        <v>17</v>
      </c>
      <c r="AD244" s="366">
        <f t="shared" si="375"/>
        <v>18</v>
      </c>
      <c r="AE244" s="235">
        <f t="shared" si="376"/>
        <v>5.9</v>
      </c>
      <c r="AF244" s="710">
        <v>295</v>
      </c>
      <c r="AG244" s="589">
        <v>138</v>
      </c>
      <c r="AH244" s="235">
        <f t="shared" si="372"/>
        <v>-53.2</v>
      </c>
    </row>
    <row r="245" spans="1:34">
      <c r="A245" s="3"/>
      <c r="B245" s="39" t="s">
        <v>49</v>
      </c>
      <c r="C245" s="182">
        <v>651</v>
      </c>
      <c r="D245" s="182">
        <v>496</v>
      </c>
      <c r="E245" s="344">
        <v>448</v>
      </c>
      <c r="F245" s="40">
        <v>416</v>
      </c>
      <c r="G245" s="608">
        <v>444</v>
      </c>
      <c r="H245" s="589">
        <v>14</v>
      </c>
      <c r="I245" s="630">
        <v>0</v>
      </c>
      <c r="J245" s="571">
        <f t="shared" si="373"/>
        <v>-100</v>
      </c>
      <c r="K245" s="587">
        <f t="shared" si="364"/>
        <v>109</v>
      </c>
      <c r="L245" s="589">
        <f t="shared" si="365"/>
        <v>0</v>
      </c>
      <c r="M245" s="571">
        <f t="shared" si="366"/>
        <v>-100</v>
      </c>
      <c r="N245" s="589">
        <v>123</v>
      </c>
      <c r="O245" s="589">
        <v>0</v>
      </c>
      <c r="P245" s="235">
        <f t="shared" si="371"/>
        <v>-100</v>
      </c>
      <c r="Q245" s="587">
        <f t="shared" si="359"/>
        <v>95</v>
      </c>
      <c r="R245" s="589">
        <f t="shared" si="360"/>
        <v>26</v>
      </c>
      <c r="S245" s="571">
        <f t="shared" si="361"/>
        <v>-72.599999999999994</v>
      </c>
      <c r="T245" s="710">
        <v>218</v>
      </c>
      <c r="U245" s="589">
        <v>26</v>
      </c>
      <c r="V245" s="235">
        <f t="shared" si="377"/>
        <v>-88.1</v>
      </c>
      <c r="W245" s="587">
        <f t="shared" si="367"/>
        <v>10</v>
      </c>
      <c r="X245" s="589">
        <f t="shared" si="368"/>
        <v>55</v>
      </c>
      <c r="Y245" s="571">
        <f t="shared" si="369"/>
        <v>450</v>
      </c>
      <c r="Z245" s="719">
        <v>228</v>
      </c>
      <c r="AA245" s="630">
        <v>81</v>
      </c>
      <c r="AB245" s="571">
        <f t="shared" si="355"/>
        <v>-64.5</v>
      </c>
      <c r="AC245" s="468">
        <f t="shared" si="374"/>
        <v>49</v>
      </c>
      <c r="AD245" s="366">
        <f t="shared" si="375"/>
        <v>60</v>
      </c>
      <c r="AE245" s="235">
        <f t="shared" si="376"/>
        <v>22.4</v>
      </c>
      <c r="AF245" s="710">
        <v>277</v>
      </c>
      <c r="AG245" s="589">
        <v>141</v>
      </c>
      <c r="AH245" s="235">
        <f t="shared" si="372"/>
        <v>-49.1</v>
      </c>
    </row>
    <row r="246" spans="1:34">
      <c r="A246" s="3"/>
      <c r="B246" s="39" t="s">
        <v>411</v>
      </c>
      <c r="C246" s="182">
        <v>1241</v>
      </c>
      <c r="D246" s="182">
        <v>546</v>
      </c>
      <c r="E246" s="344">
        <v>588</v>
      </c>
      <c r="F246" s="40">
        <v>400</v>
      </c>
      <c r="G246" s="608">
        <v>398</v>
      </c>
      <c r="H246" s="589">
        <v>20</v>
      </c>
      <c r="I246" s="630">
        <v>44</v>
      </c>
      <c r="J246" s="571">
        <f t="shared" si="373"/>
        <v>120</v>
      </c>
      <c r="K246" s="587">
        <f t="shared" si="364"/>
        <v>48</v>
      </c>
      <c r="L246" s="589">
        <f t="shared" si="365"/>
        <v>37</v>
      </c>
      <c r="M246" s="571">
        <f t="shared" si="366"/>
        <v>-22.9</v>
      </c>
      <c r="N246" s="589">
        <v>68</v>
      </c>
      <c r="O246" s="589">
        <v>81</v>
      </c>
      <c r="P246" s="235">
        <f t="shared" si="371"/>
        <v>19.100000000000001</v>
      </c>
      <c r="Q246" s="587">
        <f t="shared" si="359"/>
        <v>19</v>
      </c>
      <c r="R246" s="589">
        <f t="shared" si="360"/>
        <v>23</v>
      </c>
      <c r="S246" s="571">
        <f t="shared" si="361"/>
        <v>21.1</v>
      </c>
      <c r="T246" s="710">
        <v>87</v>
      </c>
      <c r="U246" s="589">
        <v>104</v>
      </c>
      <c r="V246" s="235">
        <f t="shared" si="377"/>
        <v>19.5</v>
      </c>
      <c r="W246" s="587">
        <f t="shared" si="367"/>
        <v>24</v>
      </c>
      <c r="X246" s="589">
        <f t="shared" si="368"/>
        <v>91</v>
      </c>
      <c r="Y246" s="571">
        <f t="shared" si="369"/>
        <v>279.2</v>
      </c>
      <c r="Z246" s="719">
        <v>111</v>
      </c>
      <c r="AA246" s="630">
        <v>195</v>
      </c>
      <c r="AB246" s="235">
        <f t="shared" ref="AB246:AB252" si="378">ROUND(((AA246/Z246-1)*100), 1)</f>
        <v>75.7</v>
      </c>
      <c r="AC246" s="468">
        <f t="shared" si="374"/>
        <v>54</v>
      </c>
      <c r="AD246" s="366">
        <f t="shared" si="375"/>
        <v>24</v>
      </c>
      <c r="AE246" s="235">
        <f t="shared" si="376"/>
        <v>-55.6</v>
      </c>
      <c r="AF246" s="710">
        <v>165</v>
      </c>
      <c r="AG246" s="589">
        <v>219</v>
      </c>
      <c r="AH246" s="235">
        <f t="shared" si="372"/>
        <v>32.700000000000003</v>
      </c>
    </row>
    <row r="247" spans="1:34">
      <c r="A247" s="3"/>
      <c r="B247" s="39" t="s">
        <v>412</v>
      </c>
      <c r="C247" s="182">
        <v>421</v>
      </c>
      <c r="D247" s="182">
        <v>331</v>
      </c>
      <c r="E247" s="344">
        <v>497</v>
      </c>
      <c r="F247" s="40">
        <v>420</v>
      </c>
      <c r="G247" s="608">
        <v>355</v>
      </c>
      <c r="H247" s="589">
        <v>18</v>
      </c>
      <c r="I247" s="630">
        <v>0</v>
      </c>
      <c r="J247" s="571">
        <f t="shared" si="373"/>
        <v>-100</v>
      </c>
      <c r="K247" s="587">
        <f t="shared" si="364"/>
        <v>24</v>
      </c>
      <c r="L247" s="589">
        <f t="shared" si="365"/>
        <v>0</v>
      </c>
      <c r="M247" s="571">
        <f t="shared" si="366"/>
        <v>-100</v>
      </c>
      <c r="N247" s="589">
        <v>42</v>
      </c>
      <c r="O247" s="589">
        <v>0</v>
      </c>
      <c r="P247" s="235">
        <f t="shared" si="371"/>
        <v>-100</v>
      </c>
      <c r="Q247" s="587">
        <f t="shared" si="359"/>
        <v>55</v>
      </c>
      <c r="R247" s="589">
        <f t="shared" si="360"/>
        <v>30</v>
      </c>
      <c r="S247" s="571">
        <f t="shared" si="361"/>
        <v>-45.5</v>
      </c>
      <c r="T247" s="710">
        <v>97</v>
      </c>
      <c r="U247" s="589">
        <v>30</v>
      </c>
      <c r="V247" s="235">
        <f t="shared" si="377"/>
        <v>-69.099999999999994</v>
      </c>
      <c r="W247" s="587">
        <f t="shared" si="367"/>
        <v>36</v>
      </c>
      <c r="X247" s="589">
        <f t="shared" si="368"/>
        <v>41</v>
      </c>
      <c r="Y247" s="571">
        <f t="shared" si="369"/>
        <v>13.9</v>
      </c>
      <c r="Z247" s="719">
        <v>133</v>
      </c>
      <c r="AA247" s="630">
        <v>71</v>
      </c>
      <c r="AB247" s="235">
        <f t="shared" si="378"/>
        <v>-46.6</v>
      </c>
      <c r="AC247" s="468">
        <f t="shared" si="374"/>
        <v>41</v>
      </c>
      <c r="AD247" s="366">
        <f t="shared" si="375"/>
        <v>30</v>
      </c>
      <c r="AE247" s="235">
        <f t="shared" si="376"/>
        <v>-26.8</v>
      </c>
      <c r="AF247" s="710">
        <v>174</v>
      </c>
      <c r="AG247" s="589">
        <v>101</v>
      </c>
      <c r="AH247" s="235">
        <f t="shared" si="372"/>
        <v>-42</v>
      </c>
    </row>
    <row r="248" spans="1:34">
      <c r="A248" s="3"/>
      <c r="B248" s="39" t="s">
        <v>65</v>
      </c>
      <c r="C248" s="182">
        <v>284</v>
      </c>
      <c r="D248" s="182">
        <v>197</v>
      </c>
      <c r="E248" s="344">
        <v>220</v>
      </c>
      <c r="F248" s="40">
        <v>341</v>
      </c>
      <c r="G248" s="608">
        <v>328</v>
      </c>
      <c r="H248" s="589">
        <v>5</v>
      </c>
      <c r="I248" s="630">
        <v>4</v>
      </c>
      <c r="J248" s="571">
        <f t="shared" si="373"/>
        <v>-20</v>
      </c>
      <c r="K248" s="587">
        <f t="shared" si="364"/>
        <v>0</v>
      </c>
      <c r="L248" s="589">
        <f t="shared" si="365"/>
        <v>18</v>
      </c>
      <c r="M248" s="570">
        <v>0</v>
      </c>
      <c r="N248" s="589">
        <v>5</v>
      </c>
      <c r="O248" s="589">
        <v>22</v>
      </c>
      <c r="P248" s="235">
        <f t="shared" si="371"/>
        <v>340</v>
      </c>
      <c r="Q248" s="587">
        <f t="shared" si="359"/>
        <v>67</v>
      </c>
      <c r="R248" s="589">
        <f t="shared" si="360"/>
        <v>1</v>
      </c>
      <c r="S248" s="571">
        <f t="shared" si="361"/>
        <v>-98.5</v>
      </c>
      <c r="T248" s="710">
        <v>72</v>
      </c>
      <c r="U248" s="589">
        <v>23</v>
      </c>
      <c r="V248" s="235">
        <f t="shared" si="377"/>
        <v>-68.099999999999994</v>
      </c>
      <c r="W248" s="587">
        <f t="shared" si="367"/>
        <v>17</v>
      </c>
      <c r="X248" s="589">
        <f t="shared" si="368"/>
        <v>96</v>
      </c>
      <c r="Y248" s="571">
        <f t="shared" si="369"/>
        <v>464.7</v>
      </c>
      <c r="Z248" s="719">
        <v>89</v>
      </c>
      <c r="AA248" s="630">
        <v>119</v>
      </c>
      <c r="AB248" s="235">
        <f t="shared" si="378"/>
        <v>33.700000000000003</v>
      </c>
      <c r="AC248" s="468">
        <f t="shared" si="374"/>
        <v>43</v>
      </c>
      <c r="AD248" s="366">
        <f t="shared" si="375"/>
        <v>27</v>
      </c>
      <c r="AE248" s="235">
        <f t="shared" si="376"/>
        <v>-37.200000000000003</v>
      </c>
      <c r="AF248" s="710">
        <v>132</v>
      </c>
      <c r="AG248" s="589">
        <v>146</v>
      </c>
      <c r="AH248" s="235">
        <f t="shared" si="372"/>
        <v>10.6</v>
      </c>
    </row>
    <row r="249" spans="1:34">
      <c r="A249" s="3"/>
      <c r="B249" s="39" t="s">
        <v>52</v>
      </c>
      <c r="C249" s="182">
        <v>587</v>
      </c>
      <c r="D249" s="182">
        <v>596</v>
      </c>
      <c r="E249" s="344">
        <v>490</v>
      </c>
      <c r="F249" s="40">
        <v>540</v>
      </c>
      <c r="G249" s="608">
        <v>209</v>
      </c>
      <c r="H249" s="589">
        <v>11</v>
      </c>
      <c r="I249" s="630">
        <v>26</v>
      </c>
      <c r="J249" s="571">
        <f t="shared" si="373"/>
        <v>136.4</v>
      </c>
      <c r="K249" s="587">
        <f t="shared" si="364"/>
        <v>33</v>
      </c>
      <c r="L249" s="589">
        <f t="shared" si="365"/>
        <v>6</v>
      </c>
      <c r="M249" s="571">
        <f t="shared" si="366"/>
        <v>-81.8</v>
      </c>
      <c r="N249" s="589">
        <v>44</v>
      </c>
      <c r="O249" s="589">
        <v>32</v>
      </c>
      <c r="P249" s="235">
        <f t="shared" si="371"/>
        <v>-27.3</v>
      </c>
      <c r="Q249" s="587">
        <f t="shared" si="359"/>
        <v>14</v>
      </c>
      <c r="R249" s="589">
        <f t="shared" si="360"/>
        <v>36</v>
      </c>
      <c r="S249" s="571">
        <f t="shared" si="361"/>
        <v>157.1</v>
      </c>
      <c r="T249" s="710">
        <v>58</v>
      </c>
      <c r="U249" s="589">
        <v>68</v>
      </c>
      <c r="V249" s="235">
        <f t="shared" si="377"/>
        <v>17.2</v>
      </c>
      <c r="W249" s="587">
        <f t="shared" si="367"/>
        <v>21</v>
      </c>
      <c r="X249" s="589">
        <f t="shared" si="368"/>
        <v>0</v>
      </c>
      <c r="Y249" s="571">
        <f t="shared" si="369"/>
        <v>-100</v>
      </c>
      <c r="Z249" s="719">
        <v>79</v>
      </c>
      <c r="AA249" s="630">
        <v>68</v>
      </c>
      <c r="AB249" s="235">
        <f t="shared" si="378"/>
        <v>-13.9</v>
      </c>
      <c r="AC249" s="468">
        <f t="shared" si="374"/>
        <v>5</v>
      </c>
      <c r="AD249" s="366">
        <f t="shared" si="375"/>
        <v>37</v>
      </c>
      <c r="AE249" s="235">
        <f t="shared" si="376"/>
        <v>640</v>
      </c>
      <c r="AF249" s="710">
        <v>84</v>
      </c>
      <c r="AG249" s="589">
        <v>105</v>
      </c>
      <c r="AH249" s="235">
        <f t="shared" si="372"/>
        <v>25</v>
      </c>
    </row>
    <row r="250" spans="1:34">
      <c r="A250" s="3"/>
      <c r="B250" s="39" t="s">
        <v>388</v>
      </c>
      <c r="C250" s="182">
        <v>315</v>
      </c>
      <c r="D250" s="182">
        <v>432</v>
      </c>
      <c r="E250" s="344">
        <v>327</v>
      </c>
      <c r="F250" s="40">
        <v>289</v>
      </c>
      <c r="G250" s="608">
        <v>169</v>
      </c>
      <c r="H250" s="589">
        <v>51</v>
      </c>
      <c r="I250" s="630">
        <v>17</v>
      </c>
      <c r="J250" s="571">
        <f t="shared" si="373"/>
        <v>-66.7</v>
      </c>
      <c r="K250" s="587">
        <f t="shared" si="364"/>
        <v>11</v>
      </c>
      <c r="L250" s="589">
        <f t="shared" si="365"/>
        <v>36</v>
      </c>
      <c r="M250" s="571">
        <f t="shared" si="366"/>
        <v>227.3</v>
      </c>
      <c r="N250" s="589">
        <v>62</v>
      </c>
      <c r="O250" s="589">
        <v>53</v>
      </c>
      <c r="P250" s="235">
        <f t="shared" si="371"/>
        <v>-14.5</v>
      </c>
      <c r="Q250" s="587">
        <f t="shared" si="359"/>
        <v>0</v>
      </c>
      <c r="R250" s="589">
        <f t="shared" si="360"/>
        <v>5</v>
      </c>
      <c r="S250" s="579">
        <v>0</v>
      </c>
      <c r="T250" s="710">
        <v>62</v>
      </c>
      <c r="U250" s="589">
        <v>58</v>
      </c>
      <c r="V250" s="235">
        <f t="shared" si="377"/>
        <v>-6.5</v>
      </c>
      <c r="W250" s="468">
        <f t="shared" ref="W250:W252" si="379">Z250-T250</f>
        <v>0</v>
      </c>
      <c r="X250" s="366">
        <f t="shared" ref="X250:X252" si="380">AA250-U250</f>
        <v>28</v>
      </c>
      <c r="Y250" s="579">
        <v>0</v>
      </c>
      <c r="Z250" s="719">
        <v>62</v>
      </c>
      <c r="AA250" s="630">
        <v>86</v>
      </c>
      <c r="AB250" s="235">
        <f t="shared" si="378"/>
        <v>38.700000000000003</v>
      </c>
      <c r="AC250" s="468">
        <f t="shared" si="374"/>
        <v>24</v>
      </c>
      <c r="AD250" s="366">
        <f t="shared" si="375"/>
        <v>15</v>
      </c>
      <c r="AE250" s="235">
        <f t="shared" si="376"/>
        <v>-37.5</v>
      </c>
      <c r="AF250" s="710">
        <v>86</v>
      </c>
      <c r="AG250" s="589">
        <v>101</v>
      </c>
      <c r="AH250" s="235">
        <f t="shared" si="372"/>
        <v>17.399999999999999</v>
      </c>
    </row>
    <row r="251" spans="1:34">
      <c r="A251" s="3"/>
      <c r="B251" s="39" t="s">
        <v>63</v>
      </c>
      <c r="C251" s="182">
        <v>119</v>
      </c>
      <c r="D251" s="182">
        <v>62</v>
      </c>
      <c r="E251" s="344">
        <v>122</v>
      </c>
      <c r="F251" s="40">
        <v>90</v>
      </c>
      <c r="G251" s="608">
        <v>115</v>
      </c>
      <c r="H251" s="589">
        <v>9</v>
      </c>
      <c r="I251" s="630">
        <v>20</v>
      </c>
      <c r="J251" s="571">
        <f t="shared" ref="J251:J252" si="381">ROUND(((I251/H251-1)*100), 1)</f>
        <v>122.2</v>
      </c>
      <c r="K251" s="587">
        <f t="shared" si="364"/>
        <v>2</v>
      </c>
      <c r="L251" s="589">
        <f t="shared" si="365"/>
        <v>1</v>
      </c>
      <c r="M251" s="571">
        <f t="shared" si="366"/>
        <v>-50</v>
      </c>
      <c r="N251" s="589">
        <v>11</v>
      </c>
      <c r="O251" s="589">
        <v>21</v>
      </c>
      <c r="P251" s="235">
        <f t="shared" si="371"/>
        <v>90.9</v>
      </c>
      <c r="Q251" s="587">
        <f t="shared" si="359"/>
        <v>19</v>
      </c>
      <c r="R251" s="589">
        <f t="shared" si="360"/>
        <v>29</v>
      </c>
      <c r="S251" s="571">
        <f t="shared" si="361"/>
        <v>52.6</v>
      </c>
      <c r="T251" s="710">
        <v>30</v>
      </c>
      <c r="U251" s="589">
        <v>50</v>
      </c>
      <c r="V251" s="235">
        <f t="shared" si="377"/>
        <v>66.7</v>
      </c>
      <c r="W251" s="468">
        <f t="shared" si="379"/>
        <v>10</v>
      </c>
      <c r="X251" s="366">
        <f t="shared" si="380"/>
        <v>0</v>
      </c>
      <c r="Y251" s="235">
        <f>ROUND(((X251/W251-1)*100), 1)</f>
        <v>-100</v>
      </c>
      <c r="Z251" s="719">
        <v>40</v>
      </c>
      <c r="AA251" s="630">
        <v>50</v>
      </c>
      <c r="AB251" s="235">
        <f t="shared" si="378"/>
        <v>25</v>
      </c>
      <c r="AC251" s="468">
        <f t="shared" si="374"/>
        <v>0</v>
      </c>
      <c r="AD251" s="366">
        <f t="shared" si="375"/>
        <v>0</v>
      </c>
      <c r="AE251" s="579">
        <v>0</v>
      </c>
      <c r="AF251" s="710">
        <v>40</v>
      </c>
      <c r="AG251" s="589">
        <v>50</v>
      </c>
      <c r="AH251" s="235">
        <f t="shared" si="372"/>
        <v>25</v>
      </c>
    </row>
    <row r="252" spans="1:34">
      <c r="A252" s="3"/>
      <c r="B252" s="39" t="s">
        <v>414</v>
      </c>
      <c r="C252" s="182">
        <v>187</v>
      </c>
      <c r="D252" s="182">
        <v>193</v>
      </c>
      <c r="E252" s="344">
        <v>128</v>
      </c>
      <c r="F252" s="40">
        <v>41</v>
      </c>
      <c r="G252" s="608">
        <v>93</v>
      </c>
      <c r="H252" s="589">
        <v>9</v>
      </c>
      <c r="I252" s="630">
        <v>0</v>
      </c>
      <c r="J252" s="226">
        <f t="shared" si="381"/>
        <v>-100</v>
      </c>
      <c r="K252" s="359">
        <f t="shared" ref="K252" si="382">N252-H252</f>
        <v>0</v>
      </c>
      <c r="L252" s="366">
        <f t="shared" ref="L252" si="383">O252-I252</f>
        <v>0</v>
      </c>
      <c r="M252" s="570">
        <v>0</v>
      </c>
      <c r="N252" s="589">
        <v>9</v>
      </c>
      <c r="O252" s="589">
        <v>0</v>
      </c>
      <c r="P252" s="235">
        <f t="shared" si="371"/>
        <v>-100</v>
      </c>
      <c r="Q252" s="359">
        <f t="shared" ref="Q252" si="384">T252-N252</f>
        <v>36</v>
      </c>
      <c r="R252" s="366">
        <f t="shared" ref="R252" si="385">U252-O252</f>
        <v>0</v>
      </c>
      <c r="S252" s="571">
        <f t="shared" si="361"/>
        <v>-100</v>
      </c>
      <c r="T252" s="710">
        <v>45</v>
      </c>
      <c r="U252" s="589">
        <v>0</v>
      </c>
      <c r="V252" s="235">
        <f t="shared" si="377"/>
        <v>-100</v>
      </c>
      <c r="W252" s="468">
        <f t="shared" si="379"/>
        <v>22</v>
      </c>
      <c r="X252" s="366">
        <f t="shared" si="380"/>
        <v>0</v>
      </c>
      <c r="Y252" s="235">
        <f>ROUND(((X252/W252-1)*100), 1)</f>
        <v>-100</v>
      </c>
      <c r="Z252" s="719">
        <v>67</v>
      </c>
      <c r="AA252" s="630">
        <v>0</v>
      </c>
      <c r="AB252" s="235">
        <f t="shared" si="378"/>
        <v>-100</v>
      </c>
      <c r="AC252" s="468">
        <f t="shared" si="374"/>
        <v>12</v>
      </c>
      <c r="AD252" s="366">
        <f t="shared" si="375"/>
        <v>0</v>
      </c>
      <c r="AE252" s="571">
        <f t="shared" si="376"/>
        <v>-100</v>
      </c>
      <c r="AF252" s="710">
        <v>79</v>
      </c>
      <c r="AG252" s="589">
        <v>0</v>
      </c>
      <c r="AH252" s="235">
        <f t="shared" si="372"/>
        <v>-100</v>
      </c>
    </row>
    <row r="253" spans="1:34">
      <c r="A253" s="3"/>
      <c r="B253" s="39" t="s">
        <v>18</v>
      </c>
      <c r="C253" s="182">
        <f t="shared" ref="C253:I253" si="386">C254-SUM(C228:C252)</f>
        <v>2302</v>
      </c>
      <c r="D253" s="182">
        <f t="shared" si="386"/>
        <v>1516</v>
      </c>
      <c r="E253" s="344">
        <f t="shared" si="386"/>
        <v>1756</v>
      </c>
      <c r="F253" s="40">
        <f t="shared" si="386"/>
        <v>1819</v>
      </c>
      <c r="G253" s="608">
        <f t="shared" si="386"/>
        <v>1590</v>
      </c>
      <c r="H253" s="589">
        <f t="shared" si="386"/>
        <v>114</v>
      </c>
      <c r="I253" s="630">
        <f t="shared" si="386"/>
        <v>74</v>
      </c>
      <c r="J253" s="226">
        <f t="shared" ref="J253:J254" si="387">ROUND(((I253/H253-1)*100), 1)</f>
        <v>-35.1</v>
      </c>
      <c r="K253" s="359">
        <f>K254-SUM(K228:K252)</f>
        <v>209</v>
      </c>
      <c r="L253" s="366">
        <f>L254-SUM(L228:L252)</f>
        <v>122</v>
      </c>
      <c r="M253" s="235">
        <f t="shared" ref="M253:M254" si="388">ROUND(((L253/K253-1)*100), 1)</f>
        <v>-41.6</v>
      </c>
      <c r="N253" s="589">
        <f>N254-SUM(N228:N252)</f>
        <v>323</v>
      </c>
      <c r="O253" s="589">
        <f>O254-SUM(O228:O252)</f>
        <v>196</v>
      </c>
      <c r="P253" s="235">
        <f t="shared" ref="P253:P254" si="389">ROUND(((O253/N253-1)*100), 1)</f>
        <v>-39.299999999999997</v>
      </c>
      <c r="Q253" s="359">
        <f>Q254-SUM(Q228:Q252)</f>
        <v>185</v>
      </c>
      <c r="R253" s="366">
        <f>R254-SUM(R228:R252)</f>
        <v>139</v>
      </c>
      <c r="S253" s="235">
        <f t="shared" ref="S253:S254" si="390">ROUND(((R253/Q253-1)*100), 1)</f>
        <v>-24.9</v>
      </c>
      <c r="T253" s="589">
        <f>T254-SUM(T228:T252)</f>
        <v>508</v>
      </c>
      <c r="U253" s="589">
        <f>U254-SUM(U228:U252)</f>
        <v>335</v>
      </c>
      <c r="V253" s="235">
        <f t="shared" ref="V253:V254" si="391">ROUND(((U253/T253-1)*100), 1)</f>
        <v>-34.1</v>
      </c>
      <c r="W253" s="468">
        <f>W254-SUM(W228:W252)</f>
        <v>98</v>
      </c>
      <c r="X253" s="366">
        <f>X254-SUM(X228:X252)</f>
        <v>85</v>
      </c>
      <c r="Y253" s="235">
        <f t="shared" ref="Y253:Y254" si="392">ROUND(((X253/W253-1)*100), 1)</f>
        <v>-13.3</v>
      </c>
      <c r="Z253" s="630">
        <f>Z254-SUM(Z228:Z252)</f>
        <v>606</v>
      </c>
      <c r="AA253" s="630">
        <f>AA254-SUM(AA228:AA252)</f>
        <v>420</v>
      </c>
      <c r="AB253" s="235">
        <f t="shared" ref="AB253:AB254" si="393">ROUND(((AA253/Z253-1)*100), 1)</f>
        <v>-30.7</v>
      </c>
      <c r="AC253" s="468">
        <f>AC254-SUM(AC228:AC252)</f>
        <v>88</v>
      </c>
      <c r="AD253" s="366">
        <f>AD254-SUM(AD228:AD252)</f>
        <v>91</v>
      </c>
      <c r="AE253" s="235">
        <f t="shared" ref="AE253:AE254" si="394">ROUND(((AD253/AC253-1)*100), 1)</f>
        <v>3.4</v>
      </c>
      <c r="AF253" s="589">
        <f>AF254-SUM(AF228:AF252)</f>
        <v>694</v>
      </c>
      <c r="AG253" s="589">
        <f>AG254-SUM(AG228:AG252)</f>
        <v>511</v>
      </c>
      <c r="AH253" s="235">
        <f t="shared" ref="AH253:AH254" si="395">ROUND(((AG253/AF253-1)*100), 1)</f>
        <v>-26.4</v>
      </c>
    </row>
    <row r="254" spans="1:34">
      <c r="A254" s="8"/>
      <c r="B254" s="63" t="s">
        <v>101</v>
      </c>
      <c r="C254" s="308">
        <v>48516</v>
      </c>
      <c r="D254" s="308">
        <v>48036</v>
      </c>
      <c r="E254" s="352">
        <v>44820</v>
      </c>
      <c r="F254" s="42">
        <v>42479</v>
      </c>
      <c r="G254" s="609">
        <v>40116</v>
      </c>
      <c r="H254" s="582">
        <v>3084</v>
      </c>
      <c r="I254" s="632">
        <v>3325</v>
      </c>
      <c r="J254" s="227">
        <f t="shared" si="387"/>
        <v>7.8</v>
      </c>
      <c r="K254" s="376">
        <f t="shared" ref="K254" si="396">N254-H254</f>
        <v>3649</v>
      </c>
      <c r="L254" s="280">
        <f t="shared" ref="L254" si="397">O254-I254</f>
        <v>3260</v>
      </c>
      <c r="M254" s="236">
        <f t="shared" si="388"/>
        <v>-10.7</v>
      </c>
      <c r="N254" s="582">
        <v>6733</v>
      </c>
      <c r="O254" s="582">
        <v>6585</v>
      </c>
      <c r="P254" s="236">
        <f t="shared" si="389"/>
        <v>-2.2000000000000002</v>
      </c>
      <c r="Q254" s="376">
        <f t="shared" ref="Q254" si="398">T254-N254</f>
        <v>4103</v>
      </c>
      <c r="R254" s="280">
        <f t="shared" ref="R254" si="399">U254-O254</f>
        <v>3983</v>
      </c>
      <c r="S254" s="236">
        <f t="shared" si="390"/>
        <v>-2.9</v>
      </c>
      <c r="T254" s="582">
        <v>10836</v>
      </c>
      <c r="U254" s="582">
        <v>10568</v>
      </c>
      <c r="V254" s="236">
        <f t="shared" si="391"/>
        <v>-2.5</v>
      </c>
      <c r="W254" s="376">
        <f t="shared" ref="W254" si="400">Z254-T254</f>
        <v>3454</v>
      </c>
      <c r="X254" s="280">
        <f t="shared" ref="X254" si="401">AA254-U254</f>
        <v>3760</v>
      </c>
      <c r="Y254" s="236">
        <f t="shared" si="392"/>
        <v>8.9</v>
      </c>
      <c r="Z254" s="632">
        <v>14290</v>
      </c>
      <c r="AA254" s="632">
        <v>14328</v>
      </c>
      <c r="AB254" s="236">
        <f t="shared" si="393"/>
        <v>0.3</v>
      </c>
      <c r="AC254" s="376">
        <f t="shared" ref="AC254:AD254" si="402">AF254-Z254</f>
        <v>2722</v>
      </c>
      <c r="AD254" s="280">
        <f t="shared" si="402"/>
        <v>3480</v>
      </c>
      <c r="AE254" s="236">
        <f t="shared" si="394"/>
        <v>27.8</v>
      </c>
      <c r="AF254" s="582">
        <v>17012</v>
      </c>
      <c r="AG254" s="582">
        <v>17808</v>
      </c>
      <c r="AH254" s="236">
        <f t="shared" si="395"/>
        <v>4.7</v>
      </c>
    </row>
    <row r="255" spans="1:34">
      <c r="A255" s="3"/>
      <c r="B255" s="39" t="s">
        <v>373</v>
      </c>
      <c r="C255" s="182">
        <v>1671</v>
      </c>
      <c r="D255" s="182">
        <v>3155</v>
      </c>
      <c r="E255" s="344">
        <v>4235</v>
      </c>
      <c r="F255" s="40">
        <v>4841</v>
      </c>
      <c r="G255" s="608">
        <v>8694</v>
      </c>
      <c r="H255" s="589">
        <v>609</v>
      </c>
      <c r="I255" s="630">
        <v>729</v>
      </c>
      <c r="J255" s="226">
        <f t="shared" ref="J255:J264" si="403">ROUND(((I255/H255-1)*100), 1)</f>
        <v>19.7</v>
      </c>
      <c r="K255" s="359">
        <f t="shared" ref="K255:K268" si="404">N255-H255</f>
        <v>449</v>
      </c>
      <c r="L255" s="366">
        <f t="shared" ref="L255:L268" si="405">O255-I255</f>
        <v>724</v>
      </c>
      <c r="M255" s="235">
        <f t="shared" ref="M255:M260" si="406">ROUND(((L255/K255-1)*100), 1)</f>
        <v>61.2</v>
      </c>
      <c r="N255" s="589">
        <v>1058</v>
      </c>
      <c r="O255" s="589">
        <v>1453</v>
      </c>
      <c r="P255" s="235">
        <f t="shared" ref="P255:P260" si="407">ROUND(((O255/N255-1)*100), 1)</f>
        <v>37.299999999999997</v>
      </c>
      <c r="Q255" s="359">
        <f t="shared" ref="Q255:Q268" si="408">T255-N255</f>
        <v>733</v>
      </c>
      <c r="R255" s="366">
        <f t="shared" ref="R255:R268" si="409">U255-O255</f>
        <v>1060</v>
      </c>
      <c r="S255" s="235">
        <f t="shared" ref="S255:S264" si="410">ROUND(((R255/Q255-1)*100), 1)</f>
        <v>44.6</v>
      </c>
      <c r="T255" s="589">
        <v>1791</v>
      </c>
      <c r="U255" s="589">
        <v>2513</v>
      </c>
      <c r="V255" s="235">
        <f t="shared" ref="V255:V264" si="411">ROUND(((U255/T255-1)*100), 1)</f>
        <v>40.299999999999997</v>
      </c>
      <c r="W255" s="468">
        <f t="shared" ref="W255:W268" si="412">Z255-T255</f>
        <v>799</v>
      </c>
      <c r="X255" s="366">
        <f t="shared" ref="X255:X268" si="413">AA255-U255</f>
        <v>1555</v>
      </c>
      <c r="Y255" s="235">
        <f t="shared" ref="Y255:Y265" si="414">ROUND(((X255/W255-1)*100), 1)</f>
        <v>94.6</v>
      </c>
      <c r="Z255" s="630">
        <v>2590</v>
      </c>
      <c r="AA255" s="630">
        <v>4068</v>
      </c>
      <c r="AB255" s="235">
        <f t="shared" ref="AB255:AB261" si="415">ROUND(((AA255/Z255-1)*100), 1)</f>
        <v>57.1</v>
      </c>
      <c r="AC255" s="468">
        <f t="shared" ref="AC255:AC268" si="416">AF255-Z255</f>
        <v>702</v>
      </c>
      <c r="AD255" s="366">
        <f t="shared" ref="AD255:AD268" si="417">AG255-AA255</f>
        <v>1431</v>
      </c>
      <c r="AE255" s="235">
        <f t="shared" ref="AE255:AE264" si="418">ROUND(((AD255/AC255-1)*100), 1)</f>
        <v>103.8</v>
      </c>
      <c r="AF255" s="589">
        <v>3292</v>
      </c>
      <c r="AG255" s="589">
        <v>5499</v>
      </c>
      <c r="AH255" s="235">
        <f t="shared" ref="AH255:AH265" si="419">ROUND(((AG255/AF255-1)*100), 1)</f>
        <v>67</v>
      </c>
    </row>
    <row r="256" spans="1:34">
      <c r="A256" s="3" t="s">
        <v>103</v>
      </c>
      <c r="B256" s="39" t="s">
        <v>43</v>
      </c>
      <c r="C256" s="182">
        <v>5185</v>
      </c>
      <c r="D256" s="182">
        <v>7243</v>
      </c>
      <c r="E256" s="344">
        <v>9056</v>
      </c>
      <c r="F256" s="40">
        <v>8574</v>
      </c>
      <c r="G256" s="608">
        <v>8374</v>
      </c>
      <c r="H256" s="589">
        <v>803</v>
      </c>
      <c r="I256" s="630">
        <v>713</v>
      </c>
      <c r="J256" s="226">
        <f t="shared" si="403"/>
        <v>-11.2</v>
      </c>
      <c r="K256" s="359">
        <f t="shared" si="404"/>
        <v>495</v>
      </c>
      <c r="L256" s="366">
        <f t="shared" si="405"/>
        <v>857</v>
      </c>
      <c r="M256" s="235">
        <f t="shared" si="406"/>
        <v>73.099999999999994</v>
      </c>
      <c r="N256" s="589">
        <v>1298</v>
      </c>
      <c r="O256" s="589">
        <v>1570</v>
      </c>
      <c r="P256" s="235">
        <f t="shared" si="407"/>
        <v>21</v>
      </c>
      <c r="Q256" s="359">
        <f t="shared" si="408"/>
        <v>941</v>
      </c>
      <c r="R256" s="366">
        <f t="shared" si="409"/>
        <v>666</v>
      </c>
      <c r="S256" s="235">
        <f t="shared" si="410"/>
        <v>-29.2</v>
      </c>
      <c r="T256" s="589">
        <v>2239</v>
      </c>
      <c r="U256" s="589">
        <v>2236</v>
      </c>
      <c r="V256" s="235">
        <f t="shared" si="411"/>
        <v>-0.1</v>
      </c>
      <c r="W256" s="468">
        <f t="shared" si="412"/>
        <v>588</v>
      </c>
      <c r="X256" s="366">
        <f t="shared" si="413"/>
        <v>799</v>
      </c>
      <c r="Y256" s="235">
        <f t="shared" si="414"/>
        <v>35.9</v>
      </c>
      <c r="Z256" s="630">
        <v>2827</v>
      </c>
      <c r="AA256" s="630">
        <v>3035</v>
      </c>
      <c r="AB256" s="235">
        <f t="shared" si="415"/>
        <v>7.4</v>
      </c>
      <c r="AC256" s="468">
        <f t="shared" si="416"/>
        <v>694</v>
      </c>
      <c r="AD256" s="366">
        <f t="shared" si="417"/>
        <v>939</v>
      </c>
      <c r="AE256" s="235">
        <f t="shared" si="418"/>
        <v>35.299999999999997</v>
      </c>
      <c r="AF256" s="589">
        <v>3521</v>
      </c>
      <c r="AG256" s="589">
        <v>3974</v>
      </c>
      <c r="AH256" s="235">
        <f t="shared" si="419"/>
        <v>12.9</v>
      </c>
    </row>
    <row r="257" spans="1:34">
      <c r="A257" s="3"/>
      <c r="B257" s="39" t="s">
        <v>49</v>
      </c>
      <c r="C257" s="182">
        <v>1936</v>
      </c>
      <c r="D257" s="182">
        <v>1748</v>
      </c>
      <c r="E257" s="344">
        <v>1276</v>
      </c>
      <c r="F257" s="40">
        <v>1382</v>
      </c>
      <c r="G257" s="608">
        <v>1317</v>
      </c>
      <c r="H257" s="589">
        <v>123</v>
      </c>
      <c r="I257" s="630">
        <v>51</v>
      </c>
      <c r="J257" s="226">
        <f t="shared" si="403"/>
        <v>-58.5</v>
      </c>
      <c r="K257" s="359">
        <f t="shared" si="404"/>
        <v>114</v>
      </c>
      <c r="L257" s="366">
        <f t="shared" si="405"/>
        <v>33</v>
      </c>
      <c r="M257" s="235">
        <f t="shared" si="406"/>
        <v>-71.099999999999994</v>
      </c>
      <c r="N257" s="589">
        <v>237</v>
      </c>
      <c r="O257" s="589">
        <v>84</v>
      </c>
      <c r="P257" s="235">
        <f t="shared" si="407"/>
        <v>-64.599999999999994</v>
      </c>
      <c r="Q257" s="359">
        <f t="shared" si="408"/>
        <v>130</v>
      </c>
      <c r="R257" s="366">
        <f t="shared" si="409"/>
        <v>49</v>
      </c>
      <c r="S257" s="235">
        <f t="shared" si="410"/>
        <v>-62.3</v>
      </c>
      <c r="T257" s="589">
        <v>367</v>
      </c>
      <c r="U257" s="589">
        <v>133</v>
      </c>
      <c r="V257" s="235">
        <f t="shared" si="411"/>
        <v>-63.8</v>
      </c>
      <c r="W257" s="468">
        <f t="shared" si="412"/>
        <v>105</v>
      </c>
      <c r="X257" s="366">
        <f t="shared" si="413"/>
        <v>110</v>
      </c>
      <c r="Y257" s="235">
        <f t="shared" si="414"/>
        <v>4.8</v>
      </c>
      <c r="Z257" s="630">
        <v>472</v>
      </c>
      <c r="AA257" s="630">
        <v>243</v>
      </c>
      <c r="AB257" s="235">
        <f t="shared" si="415"/>
        <v>-48.5</v>
      </c>
      <c r="AC257" s="468">
        <f t="shared" si="416"/>
        <v>0</v>
      </c>
      <c r="AD257" s="366">
        <f t="shared" si="417"/>
        <v>36</v>
      </c>
      <c r="AE257" s="579">
        <v>0</v>
      </c>
      <c r="AF257" s="589">
        <v>472</v>
      </c>
      <c r="AG257" s="589">
        <v>279</v>
      </c>
      <c r="AH257" s="235">
        <f t="shared" si="419"/>
        <v>-40.9</v>
      </c>
    </row>
    <row r="258" spans="1:34">
      <c r="A258" s="3"/>
      <c r="B258" s="39" t="s">
        <v>361</v>
      </c>
      <c r="C258" s="182">
        <v>32</v>
      </c>
      <c r="D258" s="182">
        <v>188</v>
      </c>
      <c r="E258" s="344">
        <v>105</v>
      </c>
      <c r="F258" s="40">
        <v>159</v>
      </c>
      <c r="G258" s="608">
        <v>309</v>
      </c>
      <c r="H258" s="589">
        <v>22</v>
      </c>
      <c r="I258" s="630">
        <v>22</v>
      </c>
      <c r="J258" s="571">
        <f t="shared" si="403"/>
        <v>0</v>
      </c>
      <c r="K258" s="359">
        <f t="shared" si="404"/>
        <v>20</v>
      </c>
      <c r="L258" s="366">
        <f t="shared" si="405"/>
        <v>28</v>
      </c>
      <c r="M258" s="235">
        <f t="shared" si="406"/>
        <v>40</v>
      </c>
      <c r="N258" s="589">
        <v>42</v>
      </c>
      <c r="O258" s="589">
        <v>50</v>
      </c>
      <c r="P258" s="235">
        <f t="shared" si="407"/>
        <v>19</v>
      </c>
      <c r="Q258" s="359">
        <f t="shared" si="408"/>
        <v>19</v>
      </c>
      <c r="R258" s="366">
        <f t="shared" si="409"/>
        <v>33</v>
      </c>
      <c r="S258" s="235">
        <f t="shared" si="410"/>
        <v>73.7</v>
      </c>
      <c r="T258" s="589">
        <v>61</v>
      </c>
      <c r="U258" s="589">
        <v>83</v>
      </c>
      <c r="V258" s="235">
        <f t="shared" si="411"/>
        <v>36.1</v>
      </c>
      <c r="W258" s="468">
        <f t="shared" si="412"/>
        <v>30</v>
      </c>
      <c r="X258" s="366">
        <f t="shared" si="413"/>
        <v>17</v>
      </c>
      <c r="Y258" s="235">
        <f t="shared" si="414"/>
        <v>-43.3</v>
      </c>
      <c r="Z258" s="630">
        <v>91</v>
      </c>
      <c r="AA258" s="630">
        <v>100</v>
      </c>
      <c r="AB258" s="235">
        <f t="shared" si="415"/>
        <v>9.9</v>
      </c>
      <c r="AC258" s="468">
        <f t="shared" si="416"/>
        <v>28</v>
      </c>
      <c r="AD258" s="366">
        <f t="shared" si="417"/>
        <v>36</v>
      </c>
      <c r="AE258" s="235">
        <f t="shared" si="418"/>
        <v>28.6</v>
      </c>
      <c r="AF258" s="589">
        <v>119</v>
      </c>
      <c r="AG258" s="589">
        <v>136</v>
      </c>
      <c r="AH258" s="235">
        <f t="shared" si="419"/>
        <v>14.3</v>
      </c>
    </row>
    <row r="259" spans="1:34">
      <c r="A259" s="3"/>
      <c r="B259" s="39" t="s">
        <v>61</v>
      </c>
      <c r="C259" s="182">
        <v>320</v>
      </c>
      <c r="D259" s="182">
        <v>343</v>
      </c>
      <c r="E259" s="344">
        <v>308</v>
      </c>
      <c r="F259" s="40">
        <v>444</v>
      </c>
      <c r="G259" s="608">
        <v>307</v>
      </c>
      <c r="H259" s="589">
        <v>0</v>
      </c>
      <c r="I259" s="630">
        <v>0</v>
      </c>
      <c r="J259" s="579">
        <v>0</v>
      </c>
      <c r="K259" s="359">
        <f t="shared" si="404"/>
        <v>57</v>
      </c>
      <c r="L259" s="366">
        <f t="shared" si="405"/>
        <v>39</v>
      </c>
      <c r="M259" s="235">
        <f t="shared" si="406"/>
        <v>-31.6</v>
      </c>
      <c r="N259" s="589">
        <v>57</v>
      </c>
      <c r="O259" s="589">
        <v>39</v>
      </c>
      <c r="P259" s="235">
        <f t="shared" si="407"/>
        <v>-31.6</v>
      </c>
      <c r="Q259" s="359">
        <f t="shared" si="408"/>
        <v>5</v>
      </c>
      <c r="R259" s="366">
        <f t="shared" si="409"/>
        <v>19</v>
      </c>
      <c r="S259" s="571">
        <f t="shared" si="410"/>
        <v>280</v>
      </c>
      <c r="T259" s="589">
        <v>62</v>
      </c>
      <c r="U259" s="589">
        <v>58</v>
      </c>
      <c r="V259" s="235">
        <f t="shared" si="411"/>
        <v>-6.5</v>
      </c>
      <c r="W259" s="468">
        <f t="shared" si="412"/>
        <v>4</v>
      </c>
      <c r="X259" s="366">
        <f t="shared" si="413"/>
        <v>14</v>
      </c>
      <c r="Y259" s="235">
        <f t="shared" si="414"/>
        <v>250</v>
      </c>
      <c r="Z259" s="630">
        <v>66</v>
      </c>
      <c r="AA259" s="630">
        <v>72</v>
      </c>
      <c r="AB259" s="235">
        <f t="shared" si="415"/>
        <v>9.1</v>
      </c>
      <c r="AC259" s="468">
        <f t="shared" si="416"/>
        <v>51</v>
      </c>
      <c r="AD259" s="366">
        <f t="shared" si="417"/>
        <v>20</v>
      </c>
      <c r="AE259" s="235">
        <f t="shared" si="418"/>
        <v>-60.8</v>
      </c>
      <c r="AF259" s="589">
        <v>117</v>
      </c>
      <c r="AG259" s="589">
        <v>92</v>
      </c>
      <c r="AH259" s="235">
        <f t="shared" si="419"/>
        <v>-21.4</v>
      </c>
    </row>
    <row r="260" spans="1:34">
      <c r="A260" s="3"/>
      <c r="B260" s="39" t="s">
        <v>372</v>
      </c>
      <c r="C260" s="182">
        <v>232</v>
      </c>
      <c r="D260" s="182">
        <v>276</v>
      </c>
      <c r="E260" s="344">
        <v>275</v>
      </c>
      <c r="F260" s="40">
        <v>211</v>
      </c>
      <c r="G260" s="608">
        <v>225</v>
      </c>
      <c r="H260" s="589">
        <v>19</v>
      </c>
      <c r="I260" s="630">
        <v>8</v>
      </c>
      <c r="J260" s="571">
        <f t="shared" si="403"/>
        <v>-57.9</v>
      </c>
      <c r="K260" s="359">
        <f t="shared" si="404"/>
        <v>22</v>
      </c>
      <c r="L260" s="366">
        <f t="shared" si="405"/>
        <v>17</v>
      </c>
      <c r="M260" s="235">
        <f t="shared" si="406"/>
        <v>-22.7</v>
      </c>
      <c r="N260" s="589">
        <v>41</v>
      </c>
      <c r="O260" s="589">
        <v>25</v>
      </c>
      <c r="P260" s="235">
        <f t="shared" si="407"/>
        <v>-39</v>
      </c>
      <c r="Q260" s="359">
        <f t="shared" si="408"/>
        <v>20</v>
      </c>
      <c r="R260" s="366">
        <f t="shared" si="409"/>
        <v>14</v>
      </c>
      <c r="S260" s="571">
        <f t="shared" si="410"/>
        <v>-30</v>
      </c>
      <c r="T260" s="589">
        <v>61</v>
      </c>
      <c r="U260" s="589">
        <v>39</v>
      </c>
      <c r="V260" s="571">
        <f t="shared" si="411"/>
        <v>-36.1</v>
      </c>
      <c r="W260" s="468">
        <f t="shared" si="412"/>
        <v>24</v>
      </c>
      <c r="X260" s="366">
        <f t="shared" si="413"/>
        <v>12</v>
      </c>
      <c r="Y260" s="235">
        <f t="shared" si="414"/>
        <v>-50</v>
      </c>
      <c r="Z260" s="630">
        <v>85</v>
      </c>
      <c r="AA260" s="630">
        <v>51</v>
      </c>
      <c r="AB260" s="235">
        <f t="shared" si="415"/>
        <v>-40</v>
      </c>
      <c r="AC260" s="468">
        <f t="shared" si="416"/>
        <v>11</v>
      </c>
      <c r="AD260" s="366">
        <f t="shared" si="417"/>
        <v>10</v>
      </c>
      <c r="AE260" s="571">
        <f t="shared" si="418"/>
        <v>-9.1</v>
      </c>
      <c r="AF260" s="589">
        <v>96</v>
      </c>
      <c r="AG260" s="589">
        <v>61</v>
      </c>
      <c r="AH260" s="235">
        <f t="shared" si="419"/>
        <v>-36.5</v>
      </c>
    </row>
    <row r="261" spans="1:34">
      <c r="A261" s="3"/>
      <c r="B261" s="39" t="s">
        <v>142</v>
      </c>
      <c r="C261" s="182">
        <v>6</v>
      </c>
      <c r="D261" s="182">
        <v>5</v>
      </c>
      <c r="E261" s="344">
        <v>10</v>
      </c>
      <c r="F261" s="40">
        <v>29</v>
      </c>
      <c r="G261" s="608">
        <v>96</v>
      </c>
      <c r="H261" s="589">
        <v>24</v>
      </c>
      <c r="I261" s="630">
        <v>8</v>
      </c>
      <c r="J261" s="571">
        <f t="shared" si="403"/>
        <v>-66.7</v>
      </c>
      <c r="K261" s="587">
        <f t="shared" ref="K261:K264" si="420">N261-H261</f>
        <v>0</v>
      </c>
      <c r="L261" s="589">
        <f t="shared" ref="L261:L264" si="421">O261-I261</f>
        <v>2</v>
      </c>
      <c r="M261" s="579">
        <v>0</v>
      </c>
      <c r="N261" s="589">
        <v>24</v>
      </c>
      <c r="O261" s="589">
        <v>10</v>
      </c>
      <c r="P261" s="571">
        <f>ROUND(((O261/N261-1)*100), 1)</f>
        <v>-58.3</v>
      </c>
      <c r="Q261" s="359">
        <f t="shared" si="408"/>
        <v>28</v>
      </c>
      <c r="R261" s="366">
        <f t="shared" si="409"/>
        <v>0</v>
      </c>
      <c r="S261" s="571">
        <f t="shared" si="410"/>
        <v>-100</v>
      </c>
      <c r="T261" s="589">
        <v>52</v>
      </c>
      <c r="U261" s="589">
        <v>10</v>
      </c>
      <c r="V261" s="571">
        <f t="shared" si="411"/>
        <v>-80.8</v>
      </c>
      <c r="W261" s="468">
        <f t="shared" si="412"/>
        <v>4</v>
      </c>
      <c r="X261" s="366">
        <f t="shared" si="413"/>
        <v>3</v>
      </c>
      <c r="Y261" s="571">
        <f t="shared" si="414"/>
        <v>-25</v>
      </c>
      <c r="Z261" s="630">
        <v>56</v>
      </c>
      <c r="AA261" s="630">
        <v>13</v>
      </c>
      <c r="AB261" s="571">
        <f t="shared" si="415"/>
        <v>-76.8</v>
      </c>
      <c r="AC261" s="468">
        <f t="shared" si="416"/>
        <v>11</v>
      </c>
      <c r="AD261" s="366">
        <f t="shared" si="417"/>
        <v>2</v>
      </c>
      <c r="AE261" s="235">
        <f t="shared" si="418"/>
        <v>-81.8</v>
      </c>
      <c r="AF261" s="589">
        <v>67</v>
      </c>
      <c r="AG261" s="589">
        <v>15</v>
      </c>
      <c r="AH261" s="235">
        <f t="shared" si="419"/>
        <v>-77.599999999999994</v>
      </c>
    </row>
    <row r="262" spans="1:34">
      <c r="A262" s="3"/>
      <c r="B262" s="29" t="s">
        <v>415</v>
      </c>
      <c r="C262" s="310">
        <v>0</v>
      </c>
      <c r="D262" s="310">
        <v>5</v>
      </c>
      <c r="E262" s="354">
        <v>68</v>
      </c>
      <c r="F262" s="40">
        <v>73</v>
      </c>
      <c r="G262" s="608">
        <v>75</v>
      </c>
      <c r="H262" s="589">
        <v>0</v>
      </c>
      <c r="I262" s="630">
        <v>0</v>
      </c>
      <c r="J262" s="579">
        <v>0</v>
      </c>
      <c r="K262" s="587">
        <f t="shared" si="420"/>
        <v>0</v>
      </c>
      <c r="L262" s="589">
        <f t="shared" si="421"/>
        <v>8</v>
      </c>
      <c r="M262" s="579">
        <v>0</v>
      </c>
      <c r="N262" s="589">
        <v>0</v>
      </c>
      <c r="O262" s="589">
        <v>8</v>
      </c>
      <c r="P262" s="579">
        <v>0</v>
      </c>
      <c r="Q262" s="359">
        <f t="shared" si="408"/>
        <v>40</v>
      </c>
      <c r="R262" s="366">
        <f t="shared" si="409"/>
        <v>0</v>
      </c>
      <c r="S262" s="571">
        <f t="shared" si="410"/>
        <v>-100</v>
      </c>
      <c r="T262" s="589">
        <v>40</v>
      </c>
      <c r="U262" s="589">
        <v>8</v>
      </c>
      <c r="V262" s="571">
        <f t="shared" si="411"/>
        <v>-80</v>
      </c>
      <c r="W262" s="468">
        <f t="shared" si="412"/>
        <v>0</v>
      </c>
      <c r="X262" s="366">
        <f t="shared" si="413"/>
        <v>1</v>
      </c>
      <c r="Y262" s="579">
        <v>0</v>
      </c>
      <c r="Z262" s="630">
        <v>40</v>
      </c>
      <c r="AA262" s="630">
        <v>9</v>
      </c>
      <c r="AB262" s="235">
        <f>ROUND(((AA262/Z262-1)*100), 1)</f>
        <v>-77.5</v>
      </c>
      <c r="AC262" s="468">
        <f t="shared" si="416"/>
        <v>9</v>
      </c>
      <c r="AD262" s="366">
        <f t="shared" si="417"/>
        <v>1</v>
      </c>
      <c r="AE262" s="571">
        <f t="shared" si="418"/>
        <v>-88.9</v>
      </c>
      <c r="AF262" s="589">
        <v>49</v>
      </c>
      <c r="AG262" s="589">
        <v>10</v>
      </c>
      <c r="AH262" s="235">
        <f t="shared" si="419"/>
        <v>-79.599999999999994</v>
      </c>
    </row>
    <row r="263" spans="1:34" s="277" customFormat="1">
      <c r="A263" s="396"/>
      <c r="B263" s="611" t="s">
        <v>47</v>
      </c>
      <c r="C263" s="613">
        <v>703</v>
      </c>
      <c r="D263" s="613">
        <v>311</v>
      </c>
      <c r="E263" s="583">
        <v>115</v>
      </c>
      <c r="F263" s="40">
        <v>50</v>
      </c>
      <c r="G263" s="608">
        <v>66</v>
      </c>
      <c r="H263" s="589">
        <v>8</v>
      </c>
      <c r="I263" s="630">
        <v>2</v>
      </c>
      <c r="J263" s="571">
        <f t="shared" si="403"/>
        <v>-75</v>
      </c>
      <c r="K263" s="587">
        <f t="shared" si="420"/>
        <v>3</v>
      </c>
      <c r="L263" s="589">
        <f t="shared" si="421"/>
        <v>6</v>
      </c>
      <c r="M263" s="571">
        <f t="shared" ref="M263:M264" si="422">ROUND(((L263/K263-1)*100), 1)</f>
        <v>100</v>
      </c>
      <c r="N263" s="589">
        <v>11</v>
      </c>
      <c r="O263" s="589">
        <v>8</v>
      </c>
      <c r="P263" s="571">
        <f>ROUND(((O263/N263-1)*100), 1)</f>
        <v>-27.3</v>
      </c>
      <c r="Q263" s="359">
        <f t="shared" si="408"/>
        <v>10</v>
      </c>
      <c r="R263" s="366">
        <f t="shared" si="409"/>
        <v>1</v>
      </c>
      <c r="S263" s="571">
        <f t="shared" si="410"/>
        <v>-90</v>
      </c>
      <c r="T263" s="589">
        <v>21</v>
      </c>
      <c r="U263" s="589">
        <v>9</v>
      </c>
      <c r="V263" s="571">
        <f t="shared" si="411"/>
        <v>-57.1</v>
      </c>
      <c r="W263" s="468">
        <f t="shared" si="412"/>
        <v>4</v>
      </c>
      <c r="X263" s="366">
        <f t="shared" si="413"/>
        <v>2</v>
      </c>
      <c r="Y263" s="571">
        <f t="shared" si="414"/>
        <v>-50</v>
      </c>
      <c r="Z263" s="630">
        <v>25</v>
      </c>
      <c r="AA263" s="630">
        <v>11</v>
      </c>
      <c r="AB263" s="571">
        <f>ROUND(((AA263/Z263-1)*100), 1)</f>
        <v>-56</v>
      </c>
      <c r="AC263" s="468">
        <f t="shared" si="416"/>
        <v>1</v>
      </c>
      <c r="AD263" s="366">
        <f t="shared" si="417"/>
        <v>2</v>
      </c>
      <c r="AE263" s="571">
        <f>ROUND(((AD263/AC263-1)*100), 1)</f>
        <v>100</v>
      </c>
      <c r="AF263" s="589">
        <v>26</v>
      </c>
      <c r="AG263" s="589">
        <v>13</v>
      </c>
      <c r="AH263" s="571">
        <f t="shared" si="419"/>
        <v>-50</v>
      </c>
    </row>
    <row r="264" spans="1:34" s="167" customFormat="1">
      <c r="A264" s="309"/>
      <c r="B264" s="39" t="s">
        <v>46</v>
      </c>
      <c r="C264" s="182">
        <v>526</v>
      </c>
      <c r="D264" s="182">
        <v>231</v>
      </c>
      <c r="E264" s="344">
        <v>120</v>
      </c>
      <c r="F264" s="40">
        <v>207</v>
      </c>
      <c r="G264" s="608">
        <v>42</v>
      </c>
      <c r="H264" s="589">
        <v>2</v>
      </c>
      <c r="I264" s="630">
        <v>0</v>
      </c>
      <c r="J264" s="571">
        <f t="shared" si="403"/>
        <v>-100</v>
      </c>
      <c r="K264" s="587">
        <f t="shared" si="420"/>
        <v>1</v>
      </c>
      <c r="L264" s="589">
        <f t="shared" si="421"/>
        <v>22</v>
      </c>
      <c r="M264" s="571">
        <f t="shared" si="422"/>
        <v>2100</v>
      </c>
      <c r="N264" s="589">
        <v>3</v>
      </c>
      <c r="O264" s="589">
        <v>22</v>
      </c>
      <c r="P264" s="235">
        <f>ROUND(((O264/N264-1)*100), 1)</f>
        <v>633.29999999999995</v>
      </c>
      <c r="Q264" s="359">
        <f t="shared" si="408"/>
        <v>1</v>
      </c>
      <c r="R264" s="366">
        <f t="shared" si="409"/>
        <v>15</v>
      </c>
      <c r="S264" s="571">
        <f t="shared" si="410"/>
        <v>1400</v>
      </c>
      <c r="T264" s="589">
        <v>4</v>
      </c>
      <c r="U264" s="589">
        <v>37</v>
      </c>
      <c r="V264" s="571">
        <f t="shared" si="411"/>
        <v>825</v>
      </c>
      <c r="W264" s="468">
        <f t="shared" si="412"/>
        <v>0</v>
      </c>
      <c r="X264" s="366">
        <f t="shared" si="413"/>
        <v>1</v>
      </c>
      <c r="Y264" s="579">
        <v>0</v>
      </c>
      <c r="Z264" s="630">
        <v>4</v>
      </c>
      <c r="AA264" s="630">
        <v>38</v>
      </c>
      <c r="AB264" s="235">
        <f>ROUND(((AA264/Z264-1)*100), 1)</f>
        <v>850</v>
      </c>
      <c r="AC264" s="468">
        <f t="shared" si="416"/>
        <v>1</v>
      </c>
      <c r="AD264" s="366">
        <f t="shared" si="417"/>
        <v>0</v>
      </c>
      <c r="AE264" s="571">
        <f t="shared" si="418"/>
        <v>-100</v>
      </c>
      <c r="AF264" s="589">
        <v>5</v>
      </c>
      <c r="AG264" s="589">
        <v>38</v>
      </c>
      <c r="AH264" s="235">
        <f t="shared" si="419"/>
        <v>660</v>
      </c>
    </row>
    <row r="265" spans="1:34">
      <c r="A265" s="3"/>
      <c r="B265" s="39" t="s">
        <v>416</v>
      </c>
      <c r="C265" s="182">
        <v>16</v>
      </c>
      <c r="D265" s="182">
        <v>23</v>
      </c>
      <c r="E265" s="344">
        <v>0</v>
      </c>
      <c r="F265" s="40">
        <v>0</v>
      </c>
      <c r="G265" s="608">
        <v>2</v>
      </c>
      <c r="H265" s="589">
        <v>0</v>
      </c>
      <c r="I265" s="630">
        <v>0</v>
      </c>
      <c r="J265" s="171">
        <v>0</v>
      </c>
      <c r="K265" s="359">
        <f t="shared" si="404"/>
        <v>0</v>
      </c>
      <c r="L265" s="366">
        <f t="shared" si="405"/>
        <v>0</v>
      </c>
      <c r="M265" s="171">
        <v>0</v>
      </c>
      <c r="N265" s="589">
        <v>0</v>
      </c>
      <c r="O265" s="589">
        <v>0</v>
      </c>
      <c r="P265" s="171">
        <v>0</v>
      </c>
      <c r="Q265" s="359">
        <f t="shared" si="408"/>
        <v>0</v>
      </c>
      <c r="R265" s="366">
        <f t="shared" si="409"/>
        <v>0</v>
      </c>
      <c r="S265" s="171">
        <v>0</v>
      </c>
      <c r="T265" s="589">
        <v>0</v>
      </c>
      <c r="U265" s="589">
        <v>0</v>
      </c>
      <c r="V265" s="171">
        <v>0</v>
      </c>
      <c r="W265" s="468">
        <f t="shared" si="412"/>
        <v>2</v>
      </c>
      <c r="X265" s="366">
        <f t="shared" si="413"/>
        <v>0</v>
      </c>
      <c r="Y265" s="571">
        <f t="shared" si="414"/>
        <v>-100</v>
      </c>
      <c r="Z265" s="630">
        <v>2</v>
      </c>
      <c r="AA265" s="630">
        <v>0</v>
      </c>
      <c r="AB265" s="571">
        <f t="shared" ref="AB265" si="423">ROUND(((AA265/Z265-1)*100), 1)</f>
        <v>-100</v>
      </c>
      <c r="AC265" s="468">
        <f t="shared" si="416"/>
        <v>0</v>
      </c>
      <c r="AD265" s="366">
        <f t="shared" si="417"/>
        <v>0</v>
      </c>
      <c r="AE265" s="579">
        <v>0</v>
      </c>
      <c r="AF265" s="589">
        <v>2</v>
      </c>
      <c r="AG265" s="589">
        <v>0</v>
      </c>
      <c r="AH265" s="571">
        <f t="shared" si="419"/>
        <v>-100</v>
      </c>
    </row>
    <row r="266" spans="1:34">
      <c r="A266" s="3"/>
      <c r="B266" s="39" t="s">
        <v>418</v>
      </c>
      <c r="C266" s="182">
        <v>25</v>
      </c>
      <c r="D266" s="182">
        <v>4</v>
      </c>
      <c r="E266" s="344">
        <v>0</v>
      </c>
      <c r="F266" s="40">
        <v>9</v>
      </c>
      <c r="G266" s="608">
        <v>1</v>
      </c>
      <c r="H266" s="589">
        <v>0</v>
      </c>
      <c r="I266" s="630">
        <v>0</v>
      </c>
      <c r="J266" s="171">
        <v>0</v>
      </c>
      <c r="K266" s="359">
        <f t="shared" si="404"/>
        <v>0</v>
      </c>
      <c r="L266" s="366">
        <f t="shared" si="405"/>
        <v>0</v>
      </c>
      <c r="M266" s="171">
        <v>0</v>
      </c>
      <c r="N266" s="589">
        <v>0</v>
      </c>
      <c r="O266" s="589">
        <v>0</v>
      </c>
      <c r="P266" s="171">
        <v>0</v>
      </c>
      <c r="Q266" s="359">
        <f t="shared" si="408"/>
        <v>0</v>
      </c>
      <c r="R266" s="366">
        <f t="shared" si="409"/>
        <v>0</v>
      </c>
      <c r="S266" s="171">
        <v>0</v>
      </c>
      <c r="T266" s="589">
        <v>0</v>
      </c>
      <c r="U266" s="589">
        <v>0</v>
      </c>
      <c r="V266" s="171">
        <v>0</v>
      </c>
      <c r="W266" s="468">
        <f t="shared" si="412"/>
        <v>0</v>
      </c>
      <c r="X266" s="366">
        <f t="shared" si="413"/>
        <v>0</v>
      </c>
      <c r="Y266" s="462">
        <v>0</v>
      </c>
      <c r="Z266" s="630">
        <v>0</v>
      </c>
      <c r="AA266" s="630">
        <v>0</v>
      </c>
      <c r="AB266" s="462">
        <v>0</v>
      </c>
      <c r="AC266" s="468">
        <f t="shared" si="416"/>
        <v>0</v>
      </c>
      <c r="AD266" s="366">
        <f t="shared" si="417"/>
        <v>3</v>
      </c>
      <c r="AE266" s="462">
        <v>0</v>
      </c>
      <c r="AF266" s="589">
        <v>0</v>
      </c>
      <c r="AG266" s="589">
        <v>3</v>
      </c>
      <c r="AH266" s="462">
        <v>0</v>
      </c>
    </row>
    <row r="267" spans="1:34">
      <c r="A267" s="3"/>
      <c r="B267" s="610" t="s">
        <v>437</v>
      </c>
      <c r="C267" s="310">
        <v>3</v>
      </c>
      <c r="D267" s="310">
        <v>0</v>
      </c>
      <c r="E267" s="354">
        <v>0</v>
      </c>
      <c r="F267" s="40">
        <v>56</v>
      </c>
      <c r="G267" s="608">
        <v>0</v>
      </c>
      <c r="H267" s="589">
        <v>0</v>
      </c>
      <c r="I267" s="630">
        <v>0</v>
      </c>
      <c r="J267" s="171">
        <v>0</v>
      </c>
      <c r="K267" s="359">
        <f t="shared" si="404"/>
        <v>0</v>
      </c>
      <c r="L267" s="366">
        <f t="shared" si="405"/>
        <v>0</v>
      </c>
      <c r="M267" s="171">
        <v>0</v>
      </c>
      <c r="N267" s="589">
        <v>0</v>
      </c>
      <c r="O267" s="589">
        <v>0</v>
      </c>
      <c r="P267" s="171">
        <v>0</v>
      </c>
      <c r="Q267" s="359">
        <f t="shared" si="408"/>
        <v>0</v>
      </c>
      <c r="R267" s="366">
        <f t="shared" si="409"/>
        <v>0</v>
      </c>
      <c r="S267" s="171">
        <v>0</v>
      </c>
      <c r="T267" s="589">
        <v>0</v>
      </c>
      <c r="U267" s="589">
        <v>0</v>
      </c>
      <c r="V267" s="171">
        <v>0</v>
      </c>
      <c r="W267" s="468">
        <f t="shared" si="412"/>
        <v>0</v>
      </c>
      <c r="X267" s="366">
        <f t="shared" si="413"/>
        <v>0</v>
      </c>
      <c r="Y267" s="462">
        <v>0</v>
      </c>
      <c r="Z267" s="630">
        <v>0</v>
      </c>
      <c r="AA267" s="630">
        <v>0</v>
      </c>
      <c r="AB267" s="462">
        <v>0</v>
      </c>
      <c r="AC267" s="468">
        <f t="shared" si="416"/>
        <v>0</v>
      </c>
      <c r="AD267" s="366">
        <f t="shared" si="417"/>
        <v>0</v>
      </c>
      <c r="AE267" s="462">
        <v>0</v>
      </c>
      <c r="AF267" s="589">
        <v>0</v>
      </c>
      <c r="AG267" s="589">
        <v>0</v>
      </c>
      <c r="AH267" s="462">
        <v>0</v>
      </c>
    </row>
    <row r="268" spans="1:34">
      <c r="A268" s="3"/>
      <c r="B268" s="39" t="s">
        <v>417</v>
      </c>
      <c r="C268" s="182">
        <v>7</v>
      </c>
      <c r="D268" s="182">
        <v>5</v>
      </c>
      <c r="E268" s="344">
        <v>0</v>
      </c>
      <c r="F268" s="40">
        <v>8</v>
      </c>
      <c r="G268" s="608">
        <v>0</v>
      </c>
      <c r="H268" s="589">
        <v>0</v>
      </c>
      <c r="I268" s="630">
        <v>0</v>
      </c>
      <c r="J268" s="171">
        <v>0</v>
      </c>
      <c r="K268" s="359">
        <f t="shared" si="404"/>
        <v>0</v>
      </c>
      <c r="L268" s="366">
        <f t="shared" si="405"/>
        <v>0</v>
      </c>
      <c r="M268" s="171">
        <v>0</v>
      </c>
      <c r="N268" s="589">
        <v>0</v>
      </c>
      <c r="O268" s="589">
        <v>0</v>
      </c>
      <c r="P268" s="171">
        <v>0</v>
      </c>
      <c r="Q268" s="359">
        <f t="shared" si="408"/>
        <v>0</v>
      </c>
      <c r="R268" s="366">
        <f t="shared" si="409"/>
        <v>0</v>
      </c>
      <c r="S268" s="171">
        <v>0</v>
      </c>
      <c r="T268" s="589">
        <v>0</v>
      </c>
      <c r="U268" s="589">
        <v>0</v>
      </c>
      <c r="V268" s="171">
        <v>0</v>
      </c>
      <c r="W268" s="468">
        <f t="shared" si="412"/>
        <v>0</v>
      </c>
      <c r="X268" s="366">
        <f t="shared" si="413"/>
        <v>0</v>
      </c>
      <c r="Y268" s="462">
        <v>0</v>
      </c>
      <c r="Z268" s="630">
        <v>0</v>
      </c>
      <c r="AA268" s="630">
        <v>0</v>
      </c>
      <c r="AB268" s="462">
        <v>0</v>
      </c>
      <c r="AC268" s="468">
        <f t="shared" si="416"/>
        <v>0</v>
      </c>
      <c r="AD268" s="366">
        <f t="shared" si="417"/>
        <v>0</v>
      </c>
      <c r="AE268" s="462">
        <v>0</v>
      </c>
      <c r="AF268" s="589">
        <v>0</v>
      </c>
      <c r="AG268" s="589">
        <v>0</v>
      </c>
      <c r="AH268" s="462">
        <v>0</v>
      </c>
    </row>
    <row r="269" spans="1:34">
      <c r="A269" s="3"/>
      <c r="B269" s="39" t="s">
        <v>18</v>
      </c>
      <c r="C269" s="182">
        <f t="shared" ref="C269:E269" si="424">C270-SUM(C255:C268)</f>
        <v>81</v>
      </c>
      <c r="D269" s="182">
        <f t="shared" si="424"/>
        <v>18</v>
      </c>
      <c r="E269" s="344">
        <f t="shared" si="424"/>
        <v>9</v>
      </c>
      <c r="F269" s="40">
        <f>F270-SUM(F255:F268)</f>
        <v>50</v>
      </c>
      <c r="G269" s="608">
        <f>G270-SUM(G255:G268)</f>
        <v>15</v>
      </c>
      <c r="H269" s="589">
        <f t="shared" ref="H269" si="425">H270-SUM(H255:H268)</f>
        <v>1</v>
      </c>
      <c r="I269" s="630">
        <f t="shared" ref="I269" si="426">I270-SUM(I255:I268)</f>
        <v>1</v>
      </c>
      <c r="J269" s="226">
        <f>ROUND(((I269/H269-1)*100), 1)</f>
        <v>0</v>
      </c>
      <c r="K269" s="359">
        <f>K270-SUM(K255:K268)</f>
        <v>0</v>
      </c>
      <c r="L269" s="366">
        <f>L270-SUM(L255:L268)</f>
        <v>0</v>
      </c>
      <c r="M269" s="580">
        <v>0</v>
      </c>
      <c r="N269" s="589">
        <f>N270-SUM(N255:N268)</f>
        <v>1</v>
      </c>
      <c r="O269" s="589">
        <f t="shared" ref="O269" si="427">O270-SUM(O255:O268)</f>
        <v>1</v>
      </c>
      <c r="P269" s="235">
        <f>ROUND(((O269/N269-1)*100), 1)</f>
        <v>0</v>
      </c>
      <c r="Q269" s="359">
        <f>Q270-SUM(Q255:Q268)</f>
        <v>1</v>
      </c>
      <c r="R269" s="366">
        <f>R270-SUM(R255:R268)</f>
        <v>0</v>
      </c>
      <c r="S269" s="235">
        <f>ROUND(((R269/Q269-1)*100), 1)</f>
        <v>-100</v>
      </c>
      <c r="T269" s="589">
        <f>T270-SUM(T255:T268)</f>
        <v>2</v>
      </c>
      <c r="U269" s="589">
        <f t="shared" ref="U269" si="428">U270-SUM(U255:U268)</f>
        <v>1</v>
      </c>
      <c r="V269" s="235">
        <f>ROUND(((U269/T269-1)*100), 1)</f>
        <v>-50</v>
      </c>
      <c r="W269" s="468">
        <f>W270-SUM(W255:W268)</f>
        <v>3</v>
      </c>
      <c r="X269" s="366">
        <f>X270-SUM(X255:X268)</f>
        <v>1</v>
      </c>
      <c r="Y269" s="235">
        <f>ROUND(((X269/W269-1)*100), 1)</f>
        <v>-66.7</v>
      </c>
      <c r="Z269" s="630">
        <f>Z270-SUM(Z255:Z268)</f>
        <v>5</v>
      </c>
      <c r="AA269" s="630">
        <f t="shared" ref="AA269" si="429">AA270-SUM(AA255:AA268)</f>
        <v>2</v>
      </c>
      <c r="AB269" s="235">
        <f>ROUND(((AA269/Z269-1)*100), 1)</f>
        <v>-60</v>
      </c>
      <c r="AC269" s="468">
        <f>AC270-SUM(AC255:AC268)</f>
        <v>0</v>
      </c>
      <c r="AD269" s="366">
        <f>AD270-SUM(AD255:AD268)</f>
        <v>0</v>
      </c>
      <c r="AE269" s="580">
        <v>0</v>
      </c>
      <c r="AF269" s="589">
        <f>AF270-SUM(AF255:AF268)</f>
        <v>5</v>
      </c>
      <c r="AG269" s="589">
        <f t="shared" ref="AG269" si="430">AG270-SUM(AG255:AG268)</f>
        <v>2</v>
      </c>
      <c r="AH269" s="235">
        <f>ROUND(((AG269/AF269-1)*100), 1)</f>
        <v>-60</v>
      </c>
    </row>
    <row r="270" spans="1:34">
      <c r="A270" s="8"/>
      <c r="B270" s="63" t="s">
        <v>101</v>
      </c>
      <c r="C270" s="308">
        <v>10743</v>
      </c>
      <c r="D270" s="308">
        <v>13555</v>
      </c>
      <c r="E270" s="352">
        <v>15577</v>
      </c>
      <c r="F270" s="42">
        <v>16093</v>
      </c>
      <c r="G270" s="609">
        <v>19523</v>
      </c>
      <c r="H270" s="582">
        <v>1611</v>
      </c>
      <c r="I270" s="632">
        <v>1534</v>
      </c>
      <c r="J270" s="227">
        <f>ROUND(((I270/H270-1)*100), 1)</f>
        <v>-4.8</v>
      </c>
      <c r="K270" s="376">
        <f>N270-H270</f>
        <v>1161</v>
      </c>
      <c r="L270" s="280">
        <f>O270-I270</f>
        <v>1736</v>
      </c>
      <c r="M270" s="236">
        <f>ROUND(((L270/K270-1)*100), 1)</f>
        <v>49.5</v>
      </c>
      <c r="N270" s="582">
        <v>2772</v>
      </c>
      <c r="O270" s="582">
        <v>3270</v>
      </c>
      <c r="P270" s="236">
        <f>ROUND(((O270/N270-1)*100), 1)</f>
        <v>18</v>
      </c>
      <c r="Q270" s="376">
        <f>T270-N270</f>
        <v>1928</v>
      </c>
      <c r="R270" s="280">
        <f>U270-O270</f>
        <v>1857</v>
      </c>
      <c r="S270" s="236">
        <f>ROUND(((R270/Q270-1)*100), 1)</f>
        <v>-3.7</v>
      </c>
      <c r="T270" s="582">
        <v>4700</v>
      </c>
      <c r="U270" s="582">
        <v>5127</v>
      </c>
      <c r="V270" s="236">
        <f>ROUND(((U270/T270-1)*100), 1)</f>
        <v>9.1</v>
      </c>
      <c r="W270" s="376">
        <f>Z270-T270</f>
        <v>1563</v>
      </c>
      <c r="X270" s="280">
        <f>AA270-U270</f>
        <v>2515</v>
      </c>
      <c r="Y270" s="236">
        <f>ROUND(((X270/W270-1)*100), 1)</f>
        <v>60.9</v>
      </c>
      <c r="Z270" s="632">
        <v>6263</v>
      </c>
      <c r="AA270" s="632">
        <v>7642</v>
      </c>
      <c r="AB270" s="236">
        <f>ROUND(((AA270/Z270-1)*100), 1)</f>
        <v>22</v>
      </c>
      <c r="AC270" s="376">
        <f>AF270-Z270</f>
        <v>1508</v>
      </c>
      <c r="AD270" s="280">
        <f>AG270-AA270</f>
        <v>2480</v>
      </c>
      <c r="AE270" s="236">
        <f>ROUND(((AD270/AC270-1)*100), 1)</f>
        <v>64.5</v>
      </c>
      <c r="AF270" s="582">
        <v>7771</v>
      </c>
      <c r="AG270" s="582">
        <v>10122</v>
      </c>
      <c r="AH270" s="236">
        <f>ROUND(((AG270/AF270-1)*100), 1)</f>
        <v>30.3</v>
      </c>
    </row>
    <row r="271" spans="1:34">
      <c r="A271" s="64" t="s">
        <v>111</v>
      </c>
      <c r="B271" s="278"/>
      <c r="J271" s="221"/>
    </row>
    <row r="272" spans="1:34">
      <c r="A272" s="51"/>
      <c r="B272" s="278"/>
      <c r="J272" s="221"/>
    </row>
    <row r="273" spans="1:10">
      <c r="A273" s="51"/>
      <c r="B273" s="278"/>
      <c r="J273" s="221"/>
    </row>
    <row r="274" spans="1:10">
      <c r="A274" s="51"/>
      <c r="B274" s="278"/>
      <c r="J274" s="221"/>
    </row>
    <row r="275" spans="1:10">
      <c r="A275" s="51"/>
      <c r="B275" s="278"/>
    </row>
    <row r="276" spans="1:10">
      <c r="A276" s="51"/>
      <c r="B276" s="278"/>
    </row>
    <row r="277" spans="1:10">
      <c r="A277" s="51"/>
      <c r="B277" s="278"/>
    </row>
    <row r="278" spans="1:10">
      <c r="A278" s="51"/>
      <c r="B278" s="278"/>
    </row>
    <row r="279" spans="1:10">
      <c r="A279" s="51"/>
      <c r="B279" s="278"/>
    </row>
  </sheetData>
  <sortState ref="B251:BX264">
    <sortCondition descending="1" ref="G251:G264"/>
  </sortState>
  <mergeCells count="92">
    <mergeCell ref="W226:Y226"/>
    <mergeCell ref="Z226:AB226"/>
    <mergeCell ref="W3:Y3"/>
    <mergeCell ref="Z3:AB3"/>
    <mergeCell ref="W41:Y41"/>
    <mergeCell ref="Z41:AB41"/>
    <mergeCell ref="W88:Y88"/>
    <mergeCell ref="Z88:AB88"/>
    <mergeCell ref="W137:Y137"/>
    <mergeCell ref="Z137:AB137"/>
    <mergeCell ref="W182:Y182"/>
    <mergeCell ref="Z182:AB182"/>
    <mergeCell ref="G3:G4"/>
    <mergeCell ref="G41:G42"/>
    <mergeCell ref="G88:G89"/>
    <mergeCell ref="G137:G138"/>
    <mergeCell ref="G182:G183"/>
    <mergeCell ref="G226:G227"/>
    <mergeCell ref="E3:E4"/>
    <mergeCell ref="K226:M226"/>
    <mergeCell ref="N3:P3"/>
    <mergeCell ref="N41:P41"/>
    <mergeCell ref="N88:P88"/>
    <mergeCell ref="N137:P137"/>
    <mergeCell ref="N182:P182"/>
    <mergeCell ref="N226:P226"/>
    <mergeCell ref="K3:M3"/>
    <mergeCell ref="K41:M41"/>
    <mergeCell ref="K88:M88"/>
    <mergeCell ref="K137:M137"/>
    <mergeCell ref="K182:M182"/>
    <mergeCell ref="A1:B1"/>
    <mergeCell ref="A3:B4"/>
    <mergeCell ref="A88:B89"/>
    <mergeCell ref="E182:E183"/>
    <mergeCell ref="E88:E89"/>
    <mergeCell ref="D41:D42"/>
    <mergeCell ref="E41:E42"/>
    <mergeCell ref="H182:J182"/>
    <mergeCell ref="H226:J226"/>
    <mergeCell ref="C3:C4"/>
    <mergeCell ref="D3:D4"/>
    <mergeCell ref="A39:B39"/>
    <mergeCell ref="A41:B42"/>
    <mergeCell ref="C137:C138"/>
    <mergeCell ref="H3:J3"/>
    <mergeCell ref="H41:J41"/>
    <mergeCell ref="F88:F89"/>
    <mergeCell ref="F41:F42"/>
    <mergeCell ref="F137:F138"/>
    <mergeCell ref="F182:F183"/>
    <mergeCell ref="F226:F227"/>
    <mergeCell ref="H88:J88"/>
    <mergeCell ref="H137:J137"/>
    <mergeCell ref="F3:F4"/>
    <mergeCell ref="D226:D227"/>
    <mergeCell ref="E226:E227"/>
    <mergeCell ref="C226:C227"/>
    <mergeCell ref="A182:B183"/>
    <mergeCell ref="C182:C183"/>
    <mergeCell ref="A226:B227"/>
    <mergeCell ref="D182:D183"/>
    <mergeCell ref="C41:C42"/>
    <mergeCell ref="Q137:S137"/>
    <mergeCell ref="A137:B138"/>
    <mergeCell ref="C88:C89"/>
    <mergeCell ref="D88:D89"/>
    <mergeCell ref="D137:D138"/>
    <mergeCell ref="E137:E138"/>
    <mergeCell ref="T137:V137"/>
    <mergeCell ref="Q182:S182"/>
    <mergeCell ref="T182:V182"/>
    <mergeCell ref="Q226:S226"/>
    <mergeCell ref="T226:V226"/>
    <mergeCell ref="Q3:S3"/>
    <mergeCell ref="T3:V3"/>
    <mergeCell ref="Q41:S41"/>
    <mergeCell ref="T41:V41"/>
    <mergeCell ref="Q88:S88"/>
    <mergeCell ref="T88:V88"/>
    <mergeCell ref="AC137:AE137"/>
    <mergeCell ref="AF137:AH137"/>
    <mergeCell ref="AC182:AE182"/>
    <mergeCell ref="AF182:AH182"/>
    <mergeCell ref="AC226:AE226"/>
    <mergeCell ref="AF226:AH226"/>
    <mergeCell ref="AC3:AE3"/>
    <mergeCell ref="AF3:AH3"/>
    <mergeCell ref="AC41:AE41"/>
    <mergeCell ref="AF41:AH41"/>
    <mergeCell ref="AC88:AE88"/>
    <mergeCell ref="AF88:AH88"/>
  </mergeCells>
  <phoneticPr fontId="2" type="noConversion"/>
  <printOptions horizontalCentered="1"/>
  <pageMargins left="0.19685039370078741" right="0.19685039370078741" top="0.74803149606299213" bottom="0.55000000000000004" header="0.31496062992125984" footer="0.31496062992125984"/>
  <pageSetup paperSize="9" scale="90" orientation="portrait" r:id="rId1"/>
  <rowBreaks count="5" manualBreakCount="5">
    <brk id="38" max="16383" man="1"/>
    <brk id="85" max="16383" man="1"/>
    <brk id="134" max="16383" man="1"/>
    <brk id="179" max="16383" man="1"/>
    <brk id="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5</vt:i4>
      </vt:variant>
    </vt:vector>
  </HeadingPairs>
  <TitlesOfParts>
    <vt:vector size="20" baseType="lpstr">
      <vt:lpstr>월기준</vt:lpstr>
      <vt:lpstr>수출</vt:lpstr>
      <vt:lpstr>수입</vt:lpstr>
      <vt:lpstr>수출입</vt:lpstr>
      <vt:lpstr>수출당월</vt:lpstr>
      <vt:lpstr>국가별수출</vt:lpstr>
      <vt:lpstr>수입당월</vt:lpstr>
      <vt:lpstr>국가별수입</vt:lpstr>
      <vt:lpstr>구리</vt:lpstr>
      <vt:lpstr>납</vt:lpstr>
      <vt:lpstr>아연</vt:lpstr>
      <vt:lpstr>알루미늄①</vt:lpstr>
      <vt:lpstr>알루미늄②</vt:lpstr>
      <vt:lpstr>니켈괴</vt:lpstr>
      <vt:lpstr>마그네슘괴</vt:lpstr>
      <vt:lpstr>납!Print_Titles</vt:lpstr>
      <vt:lpstr>수입!Print_Titles</vt:lpstr>
      <vt:lpstr>수출!Print_Titles</vt:lpstr>
      <vt:lpstr>수출입!Print_Titles</vt:lpstr>
      <vt:lpstr>아연!Print_Titles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김은희</dc:creator>
  <cp:lastModifiedBy>김은희</cp:lastModifiedBy>
  <cp:lastPrinted>2021-06-29T08:05:48Z</cp:lastPrinted>
  <dcterms:created xsi:type="dcterms:W3CDTF">2018-11-13T06:58:30Z</dcterms:created>
  <dcterms:modified xsi:type="dcterms:W3CDTF">2021-06-29T08:06:50Z</dcterms:modified>
</cp:coreProperties>
</file>